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puts" sheetId="1" state="visible" r:id="rId1"/>
    <sheet xmlns:r="http://schemas.openxmlformats.org/officeDocument/2006/relationships" name="Membership Engine" sheetId="2" state="visible" r:id="rId2"/>
    <sheet xmlns:r="http://schemas.openxmlformats.org/officeDocument/2006/relationships" name="Annual Summary" sheetId="3" state="visible" r:id="rId3"/>
    <sheet xmlns:r="http://schemas.openxmlformats.org/officeDocument/2006/relationships" name="P&amp;L" sheetId="4" state="visible" r:id="rId4"/>
    <sheet xmlns:r="http://schemas.openxmlformats.org/officeDocument/2006/relationships" name="Financing &amp; Returns" sheetId="5" state="visible" r:id="rId5"/>
    <sheet xmlns:r="http://schemas.openxmlformats.org/officeDocument/2006/relationships" name="Summary" sheetId="6" state="visible" r:id="rId6"/>
  </sheets>
  <definedNames>
    <definedName name="_xlnm.Print_Area" localSheetId="5">'Summary'!$A$1:$I$27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0.0%"/>
    <numFmt numFmtId="165" formatCode="&quot;$&quot;#,##0.00"/>
    <numFmt numFmtId="166" formatCode="0.0&quot;x&quot;"/>
    <numFmt numFmtId="167" formatCode="&quot;$&quot;#,##0"/>
    <numFmt numFmtId="168" formatCode="0.00&quot;x&quot;"/>
  </numFmts>
  <fonts count="2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94A3B8"/>
      <sz val="9"/>
    </font>
    <font>
      <name val="Calibri"/>
      <b val="1"/>
      <color rgb="002563EB"/>
      <sz val="10"/>
    </font>
    <font>
      <name val="Calibri"/>
      <color rgb="001E293B"/>
      <sz val="10"/>
    </font>
    <font>
      <name val="Calibri"/>
      <b val="1"/>
      <color rgb="001E293B"/>
      <sz val="10"/>
    </font>
    <font>
      <name val="Calibri"/>
      <b val="1"/>
      <color rgb="00FFFFFF"/>
      <sz val="9"/>
    </font>
    <font>
      <name val="Calibri"/>
      <color rgb="001E293B"/>
      <sz val="9"/>
    </font>
    <font>
      <name val="Calibri"/>
      <i val="1"/>
      <color rgb="0094A3B8"/>
      <sz val="8"/>
    </font>
    <font>
      <name val="Calibri"/>
      <color rgb="00FFFFFF"/>
      <sz val="9"/>
    </font>
    <font>
      <name val="Calibri"/>
      <b val="1"/>
      <color rgb="00FFFFFF"/>
      <sz val="10"/>
    </font>
    <font>
      <name val="Calibri"/>
      <b val="1"/>
      <color rgb="001E293B"/>
      <sz val="12"/>
    </font>
    <font>
      <name val="Calibri"/>
      <b val="1"/>
      <color rgb="001E293B"/>
      <sz val="14"/>
    </font>
    <font>
      <name val="Calibri"/>
      <color rgb="001E293B"/>
      <sz val="11"/>
    </font>
    <font>
      <name val="Calibri"/>
      <color rgb="001E293B"/>
      <sz val="12"/>
    </font>
    <font>
      <name val="Calibri"/>
      <b val="1"/>
      <color rgb="00FFFFFF"/>
      <sz val="16"/>
    </font>
    <font>
      <name val="Calibri"/>
      <b val="1"/>
      <color rgb="001E3A5F"/>
      <sz val="24"/>
    </font>
    <font>
      <name val="Calibri"/>
      <b val="1"/>
      <color rgb="00FFFFFF"/>
      <sz val="8"/>
    </font>
    <font>
      <name val="Calibri"/>
      <b val="1"/>
      <color rgb="001E293B"/>
      <sz val="9"/>
    </font>
    <font>
      <name val="Calibri"/>
      <color rgb="001E293B"/>
      <sz val="8"/>
    </font>
  </fonts>
  <fills count="15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EFF6FF"/>
      </patternFill>
    </fill>
    <fill>
      <patternFill patternType="solid">
        <fgColor rgb="00FFFBCC"/>
      </patternFill>
    </fill>
    <fill>
      <patternFill patternType="solid">
        <fgColor rgb="00334155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2563EB"/>
      </patternFill>
    </fill>
    <fill>
      <patternFill patternType="solid">
        <fgColor rgb="00DBEAFE"/>
      </patternFill>
    </fill>
    <fill>
      <patternFill patternType="solid">
        <fgColor rgb="00FEF3C7"/>
      </patternFill>
    </fill>
    <fill>
      <patternFill patternType="solid">
        <fgColor rgb="00FEE2E2"/>
      </patternFill>
    </fill>
    <fill>
      <patternFill patternType="solid">
        <fgColor rgb="00D1FAE5"/>
      </patternFill>
    </fill>
    <fill>
      <patternFill patternType="solid">
        <fgColor rgb="001E3A5F"/>
      </patternFill>
    </fill>
    <fill>
      <patternFill patternType="solid">
        <fgColor rgb="00FFF9F0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3" fontId="5" fillId="4" borderId="1" applyAlignment="1" pivotButton="0" quotePrefix="0" xfId="0">
      <alignment horizontal="right" vertical="center"/>
    </xf>
    <xf numFmtId="0" fontId="2" fillId="0" borderId="0" applyAlignment="1" pivotButton="0" quotePrefix="0" xfId="0">
      <alignment horizontal="left" vertical="center"/>
    </xf>
    <xf numFmtId="164" fontId="5" fillId="4" borderId="1" applyAlignment="1" pivotButton="0" quotePrefix="0" xfId="0">
      <alignment horizontal="right" vertical="center"/>
    </xf>
    <xf numFmtId="165" fontId="5" fillId="4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166" fontId="7" fillId="6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left" vertical="center"/>
    </xf>
    <xf numFmtId="0" fontId="7" fillId="7" borderId="1" applyAlignment="1" pivotButton="0" quotePrefix="0" xfId="0">
      <alignment horizontal="center" vertical="center"/>
    </xf>
    <xf numFmtId="166" fontId="7" fillId="7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center"/>
    </xf>
    <xf numFmtId="167" fontId="5" fillId="4" borderId="1" applyAlignment="1" pivotButton="0" quotePrefix="0" xfId="0">
      <alignment horizontal="right" vertical="center"/>
    </xf>
    <xf numFmtId="1" fontId="5" fillId="4" borderId="1" applyAlignment="1" pivotButton="0" quotePrefix="0" xfId="0">
      <alignment horizontal="right" vertical="center"/>
    </xf>
    <xf numFmtId="0" fontId="6" fillId="2" borderId="0" applyAlignment="1" pivotButton="0" quotePrefix="0" xfId="0">
      <alignment horizontal="center" vertical="center" wrapText="1"/>
    </xf>
    <xf numFmtId="1" fontId="7" fillId="7" borderId="0" applyAlignment="1" pivotButton="0" quotePrefix="0" xfId="0">
      <alignment horizontal="right" vertical="center"/>
    </xf>
    <xf numFmtId="3" fontId="7" fillId="7" borderId="0" applyAlignment="1" pivotButton="0" quotePrefix="0" xfId="0">
      <alignment horizontal="right" vertical="center"/>
    </xf>
    <xf numFmtId="165" fontId="7" fillId="7" borderId="0" applyAlignment="1" pivotButton="0" quotePrefix="0" xfId="0">
      <alignment horizontal="right" vertical="center"/>
    </xf>
    <xf numFmtId="164" fontId="7" fillId="7" borderId="0" applyAlignment="1" pivotButton="0" quotePrefix="0" xfId="0">
      <alignment horizontal="right" vertical="center"/>
    </xf>
    <xf numFmtId="167" fontId="7" fillId="7" borderId="0" applyAlignment="1" pivotButton="0" quotePrefix="0" xfId="0">
      <alignment horizontal="right" vertical="center"/>
    </xf>
    <xf numFmtId="166" fontId="7" fillId="7" borderId="0" applyAlignment="1" pivotButton="0" quotePrefix="0" xfId="0">
      <alignment horizontal="right" vertical="center"/>
    </xf>
    <xf numFmtId="1" fontId="7" fillId="6" borderId="0" applyAlignment="1" pivotButton="0" quotePrefix="0" xfId="0">
      <alignment horizontal="right" vertical="center"/>
    </xf>
    <xf numFmtId="3" fontId="7" fillId="6" borderId="0" applyAlignment="1" pivotButton="0" quotePrefix="0" xfId="0">
      <alignment horizontal="right" vertical="center"/>
    </xf>
    <xf numFmtId="165" fontId="7" fillId="6" borderId="0" applyAlignment="1" pivotButton="0" quotePrefix="0" xfId="0">
      <alignment horizontal="right" vertical="center"/>
    </xf>
    <xf numFmtId="164" fontId="7" fillId="6" borderId="0" applyAlignment="1" pivotButton="0" quotePrefix="0" xfId="0">
      <alignment horizontal="right" vertical="center"/>
    </xf>
    <xf numFmtId="167" fontId="7" fillId="6" borderId="0" applyAlignment="1" pivotButton="0" quotePrefix="0" xfId="0">
      <alignment horizontal="right" vertical="center"/>
    </xf>
    <xf numFmtId="166" fontId="7" fillId="6" borderId="0" applyAlignment="1" pivotButton="0" quotePrefix="0" xfId="0">
      <alignment horizontal="right" vertical="center"/>
    </xf>
    <xf numFmtId="0" fontId="6" fillId="5" borderId="1" applyAlignment="1" pivotButton="0" quotePrefix="0" xfId="0">
      <alignment horizontal="center" vertical="center" wrapText="1"/>
    </xf>
    <xf numFmtId="1" fontId="5" fillId="7" borderId="1" applyAlignment="1" pivotButton="0" quotePrefix="0" xfId="0">
      <alignment horizontal="right" vertical="center"/>
    </xf>
    <xf numFmtId="167" fontId="4" fillId="7" borderId="1" applyAlignment="1" pivotButton="0" quotePrefix="0" xfId="0">
      <alignment horizontal="right" vertical="center"/>
    </xf>
    <xf numFmtId="3" fontId="4" fillId="7" borderId="1" applyAlignment="1" pivotButton="0" quotePrefix="0" xfId="0">
      <alignment horizontal="right" vertical="center"/>
    </xf>
    <xf numFmtId="164" fontId="4" fillId="7" borderId="1" applyAlignment="1" pivotButton="0" quotePrefix="0" xfId="0">
      <alignment horizontal="right" vertical="center"/>
    </xf>
    <xf numFmtId="166" fontId="4" fillId="7" borderId="1" applyAlignment="1" pivotButton="0" quotePrefix="0" xfId="0">
      <alignment horizontal="right" vertical="center"/>
    </xf>
    <xf numFmtId="1" fontId="5" fillId="6" borderId="1" applyAlignment="1" pivotButton="0" quotePrefix="0" xfId="0">
      <alignment horizontal="right" vertical="center"/>
    </xf>
    <xf numFmtId="167" fontId="4" fillId="6" borderId="1" applyAlignment="1" pivotButton="0" quotePrefix="0" xfId="0">
      <alignment horizontal="right" vertical="center"/>
    </xf>
    <xf numFmtId="3" fontId="4" fillId="6" borderId="1" applyAlignment="1" pivotButton="0" quotePrefix="0" xfId="0">
      <alignment horizontal="right" vertical="center"/>
    </xf>
    <xf numFmtId="164" fontId="4" fillId="6" borderId="1" applyAlignment="1" pivotButton="0" quotePrefix="0" xfId="0">
      <alignment horizontal="right" vertical="center"/>
    </xf>
    <xf numFmtId="166" fontId="4" fillId="6" borderId="1" applyAlignment="1" pivotButton="0" quotePrefix="0" xfId="0">
      <alignment horizontal="right" vertical="center"/>
    </xf>
    <xf numFmtId="0" fontId="9" fillId="8" borderId="0" applyAlignment="1" pivotButton="0" quotePrefix="0" xfId="0">
      <alignment horizontal="left" vertical="center"/>
    </xf>
    <xf numFmtId="0" fontId="10" fillId="5" borderId="0" applyAlignment="1" pivotButton="0" quotePrefix="0" xfId="0">
      <alignment horizontal="center" vertical="center"/>
    </xf>
    <xf numFmtId="0" fontId="4" fillId="7" borderId="1" applyAlignment="1" pivotButton="0" quotePrefix="0" xfId="0">
      <alignment horizontal="left" vertical="center"/>
    </xf>
    <xf numFmtId="0" fontId="2" fillId="7" borderId="0" applyAlignment="1" pivotButton="0" quotePrefix="0" xfId="0">
      <alignment horizontal="left" vertical="center"/>
    </xf>
    <xf numFmtId="0" fontId="5" fillId="9" borderId="1" applyAlignment="1" pivotButton="0" quotePrefix="0" xfId="0">
      <alignment horizontal="left" vertical="center"/>
    </xf>
    <xf numFmtId="167" fontId="5" fillId="9" borderId="1" applyAlignment="1" pivotButton="0" quotePrefix="0" xfId="0">
      <alignment horizontal="right" vertical="center"/>
    </xf>
    <xf numFmtId="0" fontId="2" fillId="9" borderId="0" applyAlignment="1" pivotButton="0" quotePrefix="0" xfId="0">
      <alignment horizontal="left" vertical="center"/>
    </xf>
    <xf numFmtId="0" fontId="5" fillId="10" borderId="1" applyAlignment="1" pivotButton="0" quotePrefix="0" xfId="0">
      <alignment horizontal="left" vertical="center"/>
    </xf>
    <xf numFmtId="167" fontId="5" fillId="10" borderId="1" applyAlignment="1" pivotButton="0" quotePrefix="0" xfId="0">
      <alignment horizontal="right" vertical="center"/>
    </xf>
    <xf numFmtId="0" fontId="2" fillId="10" borderId="0" applyAlignment="1" pivotButton="0" quotePrefix="0" xfId="0">
      <alignment horizontal="left" vertical="center"/>
    </xf>
    <xf numFmtId="0" fontId="5" fillId="11" borderId="1" applyAlignment="1" pivotButton="0" quotePrefix="0" xfId="0">
      <alignment horizontal="left" vertical="center"/>
    </xf>
    <xf numFmtId="167" fontId="5" fillId="11" borderId="1" applyAlignment="1" pivotButton="0" quotePrefix="0" xfId="0">
      <alignment horizontal="right" vertical="center"/>
    </xf>
    <xf numFmtId="0" fontId="2" fillId="11" borderId="0" applyAlignment="1" pivotButton="0" quotePrefix="0" xfId="0">
      <alignment horizontal="left" vertical="center"/>
    </xf>
    <xf numFmtId="0" fontId="5" fillId="12" borderId="1" applyAlignment="1" pivotButton="0" quotePrefix="0" xfId="0">
      <alignment horizontal="left" vertical="center"/>
    </xf>
    <xf numFmtId="167" fontId="5" fillId="12" borderId="1" applyAlignment="1" pivotButton="0" quotePrefix="0" xfId="0">
      <alignment horizontal="right" vertical="center"/>
    </xf>
    <xf numFmtId="0" fontId="2" fillId="12" borderId="0" applyAlignment="1" pivotButton="0" quotePrefix="0" xfId="0">
      <alignment horizontal="left" vertical="center"/>
    </xf>
    <xf numFmtId="0" fontId="4" fillId="12" borderId="1" applyAlignment="1" pivotButton="0" quotePrefix="0" xfId="0">
      <alignment horizontal="left" vertical="center"/>
    </xf>
    <xf numFmtId="164" fontId="4" fillId="12" borderId="1" applyAlignment="1" pivotButton="0" quotePrefix="0" xfId="0">
      <alignment horizontal="right" vertical="center"/>
    </xf>
    <xf numFmtId="0" fontId="0" fillId="6" borderId="0" pivotButton="0" quotePrefix="0" xfId="0"/>
    <xf numFmtId="0" fontId="2" fillId="6" borderId="0" applyAlignment="1" pivotButton="0" quotePrefix="0" xfId="0">
      <alignment horizontal="left" vertical="center"/>
    </xf>
    <xf numFmtId="10" fontId="4" fillId="7" borderId="1" applyAlignment="1" pivotButton="0" quotePrefix="0" xfId="0">
      <alignment horizontal="right" vertical="center"/>
    </xf>
    <xf numFmtId="1" fontId="4" fillId="7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4" fillId="11" borderId="1" applyAlignment="1" pivotButton="0" quotePrefix="0" xfId="0">
      <alignment horizontal="left" vertical="center"/>
    </xf>
    <xf numFmtId="167" fontId="4" fillId="11" borderId="1" applyAlignment="1" pivotButton="0" quotePrefix="0" xfId="0">
      <alignment horizontal="right" vertical="center"/>
    </xf>
    <xf numFmtId="168" fontId="5" fillId="6" borderId="1" applyAlignment="1" pivotButton="0" quotePrefix="0" xfId="0">
      <alignment horizontal="right" vertical="center"/>
    </xf>
    <xf numFmtId="168" fontId="5" fillId="9" borderId="1" applyAlignment="1" pivotButton="0" quotePrefix="0" xfId="0">
      <alignment horizontal="right" vertical="center"/>
    </xf>
    <xf numFmtId="0" fontId="2" fillId="6" borderId="1" applyAlignment="1" pivotButton="0" quotePrefix="0" xfId="0">
      <alignment horizontal="left" vertical="center"/>
    </xf>
    <xf numFmtId="167" fontId="7" fillId="11" borderId="1" applyAlignment="1" pivotButton="0" quotePrefix="0" xfId="0">
      <alignment horizontal="right" vertical="center"/>
    </xf>
    <xf numFmtId="167" fontId="7" fillId="7" borderId="1" applyAlignment="1" pivotButton="0" quotePrefix="0" xfId="0">
      <alignment horizontal="right" vertical="center"/>
    </xf>
    <xf numFmtId="167" fontId="7" fillId="6" borderId="1" applyAlignment="1" pivotButton="0" quotePrefix="0" xfId="0">
      <alignment horizontal="right" vertical="center"/>
    </xf>
    <xf numFmtId="167" fontId="7" fillId="12" borderId="1" applyAlignment="1" pivotButton="0" quotePrefix="0" xfId="0">
      <alignment horizontal="right" vertical="center"/>
    </xf>
    <xf numFmtId="0" fontId="11" fillId="12" borderId="1" applyAlignment="1" pivotButton="0" quotePrefix="0" xfId="0">
      <alignment horizontal="left" vertical="center"/>
    </xf>
    <xf numFmtId="164" fontId="12" fillId="12" borderId="1" applyAlignment="1" pivotButton="0" quotePrefix="0" xfId="0">
      <alignment horizontal="right" vertical="center"/>
    </xf>
    <xf numFmtId="0" fontId="13" fillId="7" borderId="1" applyAlignment="1" pivotButton="0" quotePrefix="0" xfId="0">
      <alignment horizontal="left" vertical="center"/>
    </xf>
    <xf numFmtId="166" fontId="14" fillId="7" borderId="1" applyAlignment="1" pivotButton="0" quotePrefix="0" xfId="0">
      <alignment horizontal="right" vertical="center"/>
    </xf>
    <xf numFmtId="168" fontId="14" fillId="7" borderId="1" applyAlignment="1" pivotButton="0" quotePrefix="0" xfId="0">
      <alignment horizontal="right" vertical="center"/>
    </xf>
    <xf numFmtId="0" fontId="15" fillId="2" borderId="0" applyAlignment="1" pivotButton="0" quotePrefix="0" xfId="0">
      <alignment horizontal="center" vertical="center"/>
    </xf>
    <xf numFmtId="0" fontId="6" fillId="13" borderId="0" applyAlignment="1" pivotButton="0" quotePrefix="0" xfId="0">
      <alignment horizontal="center" vertical="center"/>
    </xf>
    <xf numFmtId="164" fontId="16" fillId="3" borderId="0" applyAlignment="1" pivotButton="0" quotePrefix="0" xfId="0">
      <alignment horizontal="center" vertical="center"/>
    </xf>
    <xf numFmtId="166" fontId="16" fillId="3" borderId="0" applyAlignment="1" pivotButton="0" quotePrefix="0" xfId="0">
      <alignment horizontal="center" vertical="center"/>
    </xf>
    <xf numFmtId="168" fontId="16" fillId="3" borderId="0" applyAlignment="1" pivotButton="0" quotePrefix="0" xfId="0">
      <alignment horizontal="center" vertical="center"/>
    </xf>
    <xf numFmtId="0" fontId="8" fillId="3" borderId="0" applyAlignment="1" pivotButton="0" quotePrefix="0" xfId="0">
      <alignment horizontal="center" vertical="center"/>
    </xf>
    <xf numFmtId="165" fontId="4" fillId="6" borderId="1" applyAlignment="1" pivotButton="0" quotePrefix="0" xfId="0">
      <alignment horizontal="right" vertical="center"/>
    </xf>
    <xf numFmtId="0" fontId="10" fillId="2" borderId="0" applyAlignment="1" pivotButton="0" quotePrefix="0" xfId="0">
      <alignment horizontal="left" vertical="center"/>
    </xf>
    <xf numFmtId="0" fontId="17" fillId="5" borderId="1" applyAlignment="1" pivotButton="0" quotePrefix="0" xfId="0">
      <alignment horizontal="center" vertical="center" wrapText="1"/>
    </xf>
    <xf numFmtId="0" fontId="17" fillId="5" borderId="1" applyAlignment="1" pivotButton="0" quotePrefix="0" xfId="0">
      <alignment horizontal="center" vertical="center"/>
    </xf>
    <xf numFmtId="0" fontId="7" fillId="12" borderId="1" applyAlignment="1" pivotButton="0" quotePrefix="0" xfId="0">
      <alignment horizontal="center" vertical="center" wrapText="1"/>
    </xf>
    <xf numFmtId="0" fontId="18" fillId="12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center" vertical="center"/>
    </xf>
    <xf numFmtId="0" fontId="18" fillId="14" borderId="1" applyAlignment="1" pivotButton="0" quotePrefix="0" xfId="0">
      <alignment horizontal="center" vertical="center"/>
    </xf>
    <xf numFmtId="0" fontId="7" fillId="9" borderId="1" applyAlignment="1" pivotButton="0" quotePrefix="0" xfId="0">
      <alignment horizontal="center" vertical="center" wrapText="1"/>
    </xf>
    <xf numFmtId="0" fontId="18" fillId="9" borderId="1" applyAlignment="1" pivotButton="0" quotePrefix="0" xfId="0">
      <alignment horizontal="center" vertical="center" wrapText="1"/>
    </xf>
    <xf numFmtId="0" fontId="19" fillId="6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4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6" customWidth="1" min="1" max="1"/>
    <col width="16" customWidth="1" min="2" max="2"/>
    <col width="30" customWidth="1" min="3" max="3"/>
    <col width="20" customWidth="1" min="4" max="4"/>
  </cols>
  <sheetData>
    <row r="1" ht="38" customHeight="1">
      <c r="A1" s="1" t="inlineStr">
        <is>
          <t>EXPRESS TUNNEL ACQUISITION UNDERWRITING MODEL</t>
        </is>
      </c>
    </row>
    <row r="2" ht="20" customHeight="1">
      <c r="A2" s="2" t="inlineStr">
        <is>
          <t>Inputs &amp; Assumptions  —  Edit yellow cells · All other tabs recalculate automatically</t>
        </is>
      </c>
    </row>
    <row r="3" ht="22" customHeight="1">
      <c r="A3" s="3" t="inlineStr">
        <is>
          <t xml:space="preserve">  CAR VOLUME</t>
        </is>
      </c>
    </row>
    <row r="4" ht="21" customHeight="1">
      <c r="A4" s="4" t="inlineStr">
        <is>
          <t>Cars per Month (Year 1)</t>
        </is>
      </c>
      <c r="B4" s="5" t="n">
        <v>10000</v>
      </c>
      <c r="C4" s="6" t="inlineStr">
        <is>
          <t>total cars through tunnel</t>
        </is>
      </c>
    </row>
    <row r="5" ht="21" customHeight="1">
      <c r="A5" s="4" t="inlineStr">
        <is>
          <t>Annual Traffic Growth</t>
        </is>
      </c>
      <c r="B5" s="7" t="n">
        <v>0.015</v>
      </c>
      <c r="C5" s="6" t="inlineStr">
        <is>
          <t>benchmark: 1–2 % / yr</t>
        </is>
      </c>
    </row>
    <row r="7" ht="22" customHeight="1">
      <c r="A7" s="3" t="inlineStr">
        <is>
          <t xml:space="preserve">  MEMBERSHIP INPUTS</t>
        </is>
      </c>
    </row>
    <row r="8" ht="21" customHeight="1">
      <c r="A8" s="4" t="inlineStr">
        <is>
          <t>Initial Penetration (@ acquisition)</t>
        </is>
      </c>
      <c r="B8" s="7" t="n">
        <v>0.2</v>
      </c>
      <c r="C8" s="6" t="inlineStr">
        <is>
          <t>seller's claim — verify carefully</t>
        </is>
      </c>
    </row>
    <row r="9" ht="21" customHeight="1">
      <c r="A9" s="4" t="inlineStr">
        <is>
          <t>Monthly Churn Rate</t>
        </is>
      </c>
      <c r="B9" s="7" t="n">
        <v>0.076</v>
      </c>
      <c r="C9" s="6" t="inlineStr">
        <is>
          <t>ICA benchmark: 7.6 % / mo</t>
        </is>
      </c>
    </row>
    <row r="10" ht="21" customHeight="1">
      <c r="A10" s="4" t="inlineStr">
        <is>
          <t>Monthly Capture Rate</t>
        </is>
      </c>
      <c r="B10" s="7" t="n">
        <v>0.08</v>
      </c>
      <c r="C10" s="6" t="inlineStr">
        <is>
          <t>industry range: 5–15 %</t>
        </is>
      </c>
    </row>
    <row r="11" ht="21" customHeight="1">
      <c r="A11" s="4" t="inlineStr">
        <is>
          <t>Member ARPU ($/month)</t>
        </is>
      </c>
      <c r="B11" s="8" t="n">
        <v>25</v>
      </c>
      <c r="C11" s="6" t="inlineStr">
        <is>
          <t>ICA consensus: $20–30</t>
        </is>
      </c>
    </row>
    <row r="12" ht="21" customHeight="1">
      <c r="A12" s="4" t="inlineStr">
        <is>
          <t>ARPU Annual Growth</t>
        </is>
      </c>
      <c r="B12" s="7" t="n">
        <v>0.03</v>
      </c>
      <c r="C12" s="6" t="inlineStr">
        <is>
          <t>membership price escalator</t>
        </is>
      </c>
    </row>
    <row r="14" ht="22" customHeight="1">
      <c r="A14" s="3" t="inlineStr">
        <is>
          <t xml:space="preserve">  RETAIL INPUTS</t>
        </is>
      </c>
    </row>
    <row r="15" ht="21" customHeight="1">
      <c r="A15" s="4" t="inlineStr">
        <is>
          <t>Retail Ticket ($/wash)</t>
        </is>
      </c>
      <c r="B15" s="8" t="n">
        <v>15</v>
      </c>
      <c r="C15" s="6" t="inlineStr">
        <is>
          <t>benchmark: $12–18</t>
        </is>
      </c>
    </row>
    <row r="16" ht="21" customHeight="1">
      <c r="A16" s="4" t="inlineStr">
        <is>
          <t>Retail Annual Growth</t>
        </is>
      </c>
      <c r="B16" s="7" t="n">
        <v>0.02</v>
      </c>
    </row>
    <row r="18" ht="22" customHeight="1">
      <c r="A18" s="3" t="inlineStr">
        <is>
          <t xml:space="preserve">  PENETRATION → EBITDA MULTIPLE TIERS  (Ad Astra / Car Wash Advisory)</t>
        </is>
      </c>
    </row>
    <row r="19" ht="20" customHeight="1">
      <c r="A19" s="9" t="inlineStr">
        <is>
          <t>Penetration</t>
        </is>
      </c>
      <c r="B19" s="9" t="inlineStr">
        <is>
          <t>EBITDA Low</t>
        </is>
      </c>
      <c r="C19" s="9" t="inlineStr">
        <is>
          <t>EBITDA High</t>
        </is>
      </c>
      <c r="D19" s="9" t="inlineStr">
        <is>
          <t>Operator Context</t>
        </is>
      </c>
    </row>
    <row r="20" ht="19" customHeight="1">
      <c r="A20" s="10" t="inlineStr">
        <is>
          <t>&lt; 20%</t>
        </is>
      </c>
      <c r="B20" s="11" t="n">
        <v>5</v>
      </c>
      <c r="C20" s="11" t="n">
        <v>5.5</v>
      </c>
      <c r="D20" s="12" t="inlineStr">
        <is>
          <t>Commodity wash — limited exit upside</t>
        </is>
      </c>
    </row>
    <row r="21" ht="19" customHeight="1">
      <c r="A21" s="13" t="inlineStr">
        <is>
          <t>20–30%</t>
        </is>
      </c>
      <c r="B21" s="14" t="n">
        <v>5.5</v>
      </c>
      <c r="C21" s="14" t="n">
        <v>6</v>
      </c>
      <c r="D21" s="15" t="inlineStr">
        <is>
          <t>Improving stickiness</t>
        </is>
      </c>
    </row>
    <row r="22" ht="19" customHeight="1">
      <c r="A22" s="10" t="inlineStr">
        <is>
          <t>30–40%</t>
        </is>
      </c>
      <c r="B22" s="11" t="n">
        <v>6.5</v>
      </c>
      <c r="C22" s="11" t="n">
        <v>7</v>
      </c>
      <c r="D22" s="12" t="inlineStr">
        <is>
          <t>Subscription business floor</t>
        </is>
      </c>
    </row>
    <row r="23" ht="19" customHeight="1">
      <c r="A23" s="13" t="inlineStr">
        <is>
          <t>40%+</t>
        </is>
      </c>
      <c r="B23" s="14" t="n">
        <v>7.5</v>
      </c>
      <c r="C23" s="14" t="n">
        <v>8.5</v>
      </c>
      <c r="D23" s="15" t="inlineStr">
        <is>
          <t>Premium subscription asset — lender-favored</t>
        </is>
      </c>
    </row>
    <row r="25" ht="16" customHeight="1">
      <c r="A25" s="16" t="inlineStr">
        <is>
          <t>Sources: ICA/carwash.com (7.6 % churn) · Ad Astra Equity (EBITDA multiples) · Car Wash Advisory 2025 M&amp;A Report</t>
        </is>
      </c>
    </row>
    <row r="26" ht="6" customHeight="1"/>
    <row r="27" ht="22" customHeight="1">
      <c r="A27" s="3" t="inlineStr">
        <is>
          <t xml:space="preserve">  OPERATING COSTS  (% of Total Revenue)  —  ICA / operator benchmarks</t>
        </is>
      </c>
    </row>
    <row r="28" ht="21" customHeight="1">
      <c r="A28" s="4" t="inlineStr">
        <is>
          <t>Labor &amp; Benefits</t>
        </is>
      </c>
      <c r="B28" s="7" t="n">
        <v>0.28</v>
      </c>
      <c r="C28" s="6" t="inlineStr">
        <is>
          <t>benchmark: 25–30%</t>
        </is>
      </c>
    </row>
    <row r="29" ht="21" customHeight="1">
      <c r="A29" s="4" t="inlineStr">
        <is>
          <t>Chemicals &amp; Supplies</t>
        </is>
      </c>
      <c r="B29" s="7" t="n">
        <v>0.1</v>
      </c>
      <c r="C29" s="6" t="inlineStr">
        <is>
          <t>benchmark: 8–12%</t>
        </is>
      </c>
    </row>
    <row r="30" ht="21" customHeight="1">
      <c r="A30" s="4" t="inlineStr">
        <is>
          <t>Utilities</t>
        </is>
      </c>
      <c r="B30" s="7" t="n">
        <v>0.06</v>
      </c>
      <c r="C30" s="6" t="inlineStr">
        <is>
          <t>benchmark: 5–8%</t>
        </is>
      </c>
    </row>
    <row r="31" ht="21" customHeight="1">
      <c r="A31" s="4" t="inlineStr">
        <is>
          <t>Repairs &amp; Maintenance</t>
        </is>
      </c>
      <c r="B31" s="7" t="n">
        <v>0.04</v>
      </c>
      <c r="C31" s="6" t="inlineStr">
        <is>
          <t>benchmark: 3–5%</t>
        </is>
      </c>
    </row>
    <row r="32" ht="6" customHeight="1"/>
    <row r="33" ht="22" customHeight="1">
      <c r="A33" s="3" t="inlineStr">
        <is>
          <t xml:space="preserve">  FIXED COSTS  (Year 1 Annual)</t>
        </is>
      </c>
    </row>
    <row r="34" ht="21" customHeight="1">
      <c r="A34" s="4" t="inlineStr">
        <is>
          <t>Rent / Site Lease</t>
        </is>
      </c>
      <c r="B34" s="17" t="n">
        <v>120000</v>
      </c>
      <c r="C34" s="6" t="inlineStr">
        <is>
          <t>benchmark: $80K–$200K</t>
        </is>
      </c>
    </row>
    <row r="35" ht="21" customHeight="1">
      <c r="A35" s="4" t="inlineStr">
        <is>
          <t>Insurance</t>
        </is>
      </c>
      <c r="B35" s="17" t="n">
        <v>20000</v>
      </c>
      <c r="C35" s="6" t="inlineStr">
        <is>
          <t>benchmark: $15K–$25K</t>
        </is>
      </c>
    </row>
    <row r="36" ht="21" customHeight="1">
      <c r="A36" s="4" t="inlineStr">
        <is>
          <t>Admin &amp; Overhead</t>
        </is>
      </c>
      <c r="B36" s="17" t="n">
        <v>40000</v>
      </c>
      <c r="C36" s="6" t="inlineStr">
        <is>
          <t>benchmark: $30K–$60K</t>
        </is>
      </c>
    </row>
    <row r="37" ht="21" customHeight="1">
      <c r="A37" s="4" t="inlineStr">
        <is>
          <t>Fixed Cost Annual Inflation</t>
        </is>
      </c>
      <c r="B37" s="7" t="n">
        <v>0.03</v>
      </c>
      <c r="C37" s="6" t="inlineStr">
        <is>
          <t>CPI-linked escalator</t>
        </is>
      </c>
    </row>
    <row r="38" ht="6" customHeight="1"/>
    <row r="39" ht="22" customHeight="1">
      <c r="A39" s="3" t="inlineStr">
        <is>
          <t xml:space="preserve">  SBA ACQUISITION FINANCING  (7(a)/504)  —  edit to match your deal</t>
        </is>
      </c>
    </row>
    <row r="40" ht="21" customHeight="1">
      <c r="A40" s="4" t="inlineStr">
        <is>
          <t>Purchase Price (Enterprise Value)</t>
        </is>
      </c>
      <c r="B40" s="17" t="n">
        <v>2000000</v>
      </c>
      <c r="C40" s="6" t="inlineStr">
        <is>
          <t>target acquisition EV</t>
        </is>
      </c>
    </row>
    <row r="41" ht="21" customHeight="1">
      <c r="A41" s="4" t="inlineStr">
        <is>
          <t>SBA Loan LTV</t>
        </is>
      </c>
      <c r="B41" s="7" t="n">
        <v>0.85</v>
      </c>
      <c r="C41" s="6" t="inlineStr">
        <is>
          <t>SBA 7(a)/504: 85% LTV typical</t>
        </is>
      </c>
    </row>
    <row r="42" ht="21" customHeight="1">
      <c r="A42" s="4" t="inlineStr">
        <is>
          <t>SBA Interest Rate (annual)</t>
        </is>
      </c>
      <c r="B42" s="7" t="n">
        <v>0.0825</v>
      </c>
      <c r="C42" s="6" t="inlineStr">
        <is>
          <t>WSJ Prime + 2.75% — verify current</t>
        </is>
      </c>
    </row>
    <row r="43" ht="21" customHeight="1">
      <c r="A43" s="4" t="inlineStr">
        <is>
          <t>SBA Loan Term (years)</t>
        </is>
      </c>
      <c r="B43" s="18" t="n">
        <v>25</v>
      </c>
      <c r="C43" s="6" t="inlineStr">
        <is>
          <t>SBA 504 real estate: up to 25 yrs</t>
        </is>
      </c>
    </row>
    <row r="44" ht="21" customHeight="1">
      <c r="A44" s="4" t="inlineStr">
        <is>
          <t>Closing Costs % of Purchase</t>
        </is>
      </c>
      <c r="B44" s="7" t="n">
        <v>0.03</v>
      </c>
      <c r="C44" s="6" t="inlineStr">
        <is>
          <t>approx. 2–4% for SBA deals</t>
        </is>
      </c>
    </row>
  </sheetData>
  <mergeCells count="10">
    <mergeCell ref="A1:D1"/>
    <mergeCell ref="A18:D18"/>
    <mergeCell ref="A27:D27"/>
    <mergeCell ref="A3:D3"/>
    <mergeCell ref="A39:D39"/>
    <mergeCell ref="A7:D7"/>
    <mergeCell ref="A25:D25"/>
    <mergeCell ref="A2:D2"/>
    <mergeCell ref="A33:D33"/>
    <mergeCell ref="A14:D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12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6" customWidth="1" min="2" max="2"/>
    <col width="11" customWidth="1" min="3" max="3"/>
    <col width="11" customWidth="1" min="4" max="4"/>
    <col width="14" customWidth="1" min="5" max="5"/>
    <col width="12" customWidth="1" min="6" max="6"/>
    <col width="14" customWidth="1" min="7" max="7"/>
    <col width="12" customWidth="1" min="8" max="8"/>
    <col width="14" customWidth="1" min="9" max="9"/>
    <col width="12" customWidth="1" min="10" max="10"/>
    <col width="11" customWidth="1" min="11" max="11"/>
    <col width="14" customWidth="1" min="12" max="12"/>
    <col width="14" customWidth="1" min="13" max="13"/>
    <col width="14" customWidth="1" min="14" max="14"/>
    <col width="12" customWidth="1" min="15" max="15"/>
    <col width="14" customWidth="1" min="16" max="16"/>
    <col width="14" customWidth="1" min="17" max="17"/>
  </cols>
  <sheetData>
    <row r="1" ht="40" customHeight="1">
      <c r="A1" s="19" t="inlineStr">
        <is>
          <t>Month</t>
        </is>
      </c>
      <c r="B1" s="19" t="inlineStr">
        <is>
          <t>Year</t>
        </is>
      </c>
      <c r="C1" s="19" t="inlineStr">
        <is>
          <t>Cars</t>
        </is>
      </c>
      <c r="D1" s="19" t="inlineStr">
        <is>
          <t>ARPU ($)</t>
        </is>
      </c>
      <c r="E1" s="19" t="inlineStr">
        <is>
          <t>Retail Ticket ($)</t>
        </is>
      </c>
      <c r="F1" s="19" t="inlineStr">
        <is>
          <t>Members BOM</t>
        </is>
      </c>
      <c r="G1" s="19" t="inlineStr">
        <is>
          <t>Retail Visitors</t>
        </is>
      </c>
      <c r="H1" s="19" t="inlineStr">
        <is>
          <t>New Members</t>
        </is>
      </c>
      <c r="I1" s="19" t="inlineStr">
        <is>
          <t>Churned Members</t>
        </is>
      </c>
      <c r="J1" s="19" t="inlineStr">
        <is>
          <t>Members EOM</t>
        </is>
      </c>
      <c r="K1" s="19" t="inlineStr">
        <is>
          <t>Penetration</t>
        </is>
      </c>
      <c r="L1" s="19" t="inlineStr">
        <is>
          <t>Member Revenue</t>
        </is>
      </c>
      <c r="M1" s="19" t="inlineStr">
        <is>
          <t>Retail Revenue</t>
        </is>
      </c>
      <c r="N1" s="19" t="inlineStr">
        <is>
          <t>Total Revenue</t>
        </is>
      </c>
      <c r="O1" s="19" t="inlineStr">
        <is>
          <t>Mbr Rev Share</t>
        </is>
      </c>
      <c r="P1" s="19" t="inlineStr">
        <is>
          <t>EBITDA Mult Low</t>
        </is>
      </c>
      <c r="Q1" s="19" t="inlineStr">
        <is>
          <t>EBITDA Mult High</t>
        </is>
      </c>
    </row>
    <row r="2">
      <c r="A2" s="20" t="n">
        <v>1</v>
      </c>
      <c r="B2" s="20">
        <f>INT((A2-1)/12)+1</f>
        <v/>
      </c>
      <c r="C2" s="21">
        <f>Inputs!$B$4*(1+Inputs!$B$5)^INT((A2-1)/12)</f>
        <v/>
      </c>
      <c r="D2" s="22">
        <f>Inputs!$B$11*(1+Inputs!$B$12)^INT((A2-1)/12)</f>
        <v/>
      </c>
      <c r="E2" s="22">
        <f>Inputs!$B$15*(1+Inputs!$B$16)^INT((A2-1)/12)</f>
        <v/>
      </c>
      <c r="F2" s="21">
        <f>Inputs!$B$4*Inputs!$B$8</f>
        <v/>
      </c>
      <c r="G2" s="21">
        <f>MAX(0,C2-F2)</f>
        <v/>
      </c>
      <c r="H2" s="21">
        <f>G2*Inputs!$B$10</f>
        <v/>
      </c>
      <c r="I2" s="21">
        <f>F2*Inputs!$B$9</f>
        <v/>
      </c>
      <c r="J2" s="21">
        <f>MAX(0,F2+H2-I2)</f>
        <v/>
      </c>
      <c r="K2" s="23">
        <f>IF(C2&gt;0,J2/C2,0)</f>
        <v/>
      </c>
      <c r="L2" s="24">
        <f>J2*D2</f>
        <v/>
      </c>
      <c r="M2" s="24">
        <f>G2*E2</f>
        <v/>
      </c>
      <c r="N2" s="24">
        <f>L2+M2</f>
        <v/>
      </c>
      <c r="O2" s="23">
        <f>IF(N2&gt;0,L2/N2,0)</f>
        <v/>
      </c>
      <c r="P2" s="25">
        <f>IF(K2&lt;0.20,5.0,IF(K2&lt;0.30,5.5,IF(K2&lt;0.40,6.5,7.5)))</f>
        <v/>
      </c>
      <c r="Q2" s="25">
        <f>IF(K2&lt;0.20,5.5,IF(K2&lt;0.30,6.0,IF(K2&lt;0.40,7.0,8.5)))</f>
        <v/>
      </c>
    </row>
    <row r="3">
      <c r="A3" s="26" t="n">
        <v>2</v>
      </c>
      <c r="B3" s="26">
        <f>INT((A3-1)/12)+1</f>
        <v/>
      </c>
      <c r="C3" s="27">
        <f>Inputs!$B$4*(1+Inputs!$B$5)^INT((A3-1)/12)</f>
        <v/>
      </c>
      <c r="D3" s="28">
        <f>Inputs!$B$11*(1+Inputs!$B$12)^INT((A3-1)/12)</f>
        <v/>
      </c>
      <c r="E3" s="28">
        <f>Inputs!$B$15*(1+Inputs!$B$16)^INT((A3-1)/12)</f>
        <v/>
      </c>
      <c r="F3" s="27">
        <f>J2</f>
        <v/>
      </c>
      <c r="G3" s="27">
        <f>MAX(0,C3-F3)</f>
        <v/>
      </c>
      <c r="H3" s="27">
        <f>G3*Inputs!$B$10</f>
        <v/>
      </c>
      <c r="I3" s="27">
        <f>F3*Inputs!$B$9</f>
        <v/>
      </c>
      <c r="J3" s="27">
        <f>MAX(0,F3+H3-I3)</f>
        <v/>
      </c>
      <c r="K3" s="29">
        <f>IF(C3&gt;0,J3/C3,0)</f>
        <v/>
      </c>
      <c r="L3" s="30">
        <f>J3*D3</f>
        <v/>
      </c>
      <c r="M3" s="30">
        <f>G3*E3</f>
        <v/>
      </c>
      <c r="N3" s="30">
        <f>L3+M3</f>
        <v/>
      </c>
      <c r="O3" s="29">
        <f>IF(N3&gt;0,L3/N3,0)</f>
        <v/>
      </c>
      <c r="P3" s="31">
        <f>IF(K3&lt;0.20,5.0,IF(K3&lt;0.30,5.5,IF(K3&lt;0.40,6.5,7.5)))</f>
        <v/>
      </c>
      <c r="Q3" s="31">
        <f>IF(K3&lt;0.20,5.5,IF(K3&lt;0.30,6.0,IF(K3&lt;0.40,7.0,8.5)))</f>
        <v/>
      </c>
    </row>
    <row r="4">
      <c r="A4" s="20" t="n">
        <v>3</v>
      </c>
      <c r="B4" s="20">
        <f>INT((A4-1)/12)+1</f>
        <v/>
      </c>
      <c r="C4" s="21">
        <f>Inputs!$B$4*(1+Inputs!$B$5)^INT((A4-1)/12)</f>
        <v/>
      </c>
      <c r="D4" s="22">
        <f>Inputs!$B$11*(1+Inputs!$B$12)^INT((A4-1)/12)</f>
        <v/>
      </c>
      <c r="E4" s="22">
        <f>Inputs!$B$15*(1+Inputs!$B$16)^INT((A4-1)/12)</f>
        <v/>
      </c>
      <c r="F4" s="21">
        <f>J3</f>
        <v/>
      </c>
      <c r="G4" s="21">
        <f>MAX(0,C4-F4)</f>
        <v/>
      </c>
      <c r="H4" s="21">
        <f>G4*Inputs!$B$10</f>
        <v/>
      </c>
      <c r="I4" s="21">
        <f>F4*Inputs!$B$9</f>
        <v/>
      </c>
      <c r="J4" s="21">
        <f>MAX(0,F4+H4-I4)</f>
        <v/>
      </c>
      <c r="K4" s="23">
        <f>IF(C4&gt;0,J4/C4,0)</f>
        <v/>
      </c>
      <c r="L4" s="24">
        <f>J4*D4</f>
        <v/>
      </c>
      <c r="M4" s="24">
        <f>G4*E4</f>
        <v/>
      </c>
      <c r="N4" s="24">
        <f>L4+M4</f>
        <v/>
      </c>
      <c r="O4" s="23">
        <f>IF(N4&gt;0,L4/N4,0)</f>
        <v/>
      </c>
      <c r="P4" s="25">
        <f>IF(K4&lt;0.20,5.0,IF(K4&lt;0.30,5.5,IF(K4&lt;0.40,6.5,7.5)))</f>
        <v/>
      </c>
      <c r="Q4" s="25">
        <f>IF(K4&lt;0.20,5.5,IF(K4&lt;0.30,6.0,IF(K4&lt;0.40,7.0,8.5)))</f>
        <v/>
      </c>
    </row>
    <row r="5">
      <c r="A5" s="26" t="n">
        <v>4</v>
      </c>
      <c r="B5" s="26">
        <f>INT((A5-1)/12)+1</f>
        <v/>
      </c>
      <c r="C5" s="27">
        <f>Inputs!$B$4*(1+Inputs!$B$5)^INT((A5-1)/12)</f>
        <v/>
      </c>
      <c r="D5" s="28">
        <f>Inputs!$B$11*(1+Inputs!$B$12)^INT((A5-1)/12)</f>
        <v/>
      </c>
      <c r="E5" s="28">
        <f>Inputs!$B$15*(1+Inputs!$B$16)^INT((A5-1)/12)</f>
        <v/>
      </c>
      <c r="F5" s="27">
        <f>J4</f>
        <v/>
      </c>
      <c r="G5" s="27">
        <f>MAX(0,C5-F5)</f>
        <v/>
      </c>
      <c r="H5" s="27">
        <f>G5*Inputs!$B$10</f>
        <v/>
      </c>
      <c r="I5" s="27">
        <f>F5*Inputs!$B$9</f>
        <v/>
      </c>
      <c r="J5" s="27">
        <f>MAX(0,F5+H5-I5)</f>
        <v/>
      </c>
      <c r="K5" s="29">
        <f>IF(C5&gt;0,J5/C5,0)</f>
        <v/>
      </c>
      <c r="L5" s="30">
        <f>J5*D5</f>
        <v/>
      </c>
      <c r="M5" s="30">
        <f>G5*E5</f>
        <v/>
      </c>
      <c r="N5" s="30">
        <f>L5+M5</f>
        <v/>
      </c>
      <c r="O5" s="29">
        <f>IF(N5&gt;0,L5/N5,0)</f>
        <v/>
      </c>
      <c r="P5" s="31">
        <f>IF(K5&lt;0.20,5.0,IF(K5&lt;0.30,5.5,IF(K5&lt;0.40,6.5,7.5)))</f>
        <v/>
      </c>
      <c r="Q5" s="31">
        <f>IF(K5&lt;0.20,5.5,IF(K5&lt;0.30,6.0,IF(K5&lt;0.40,7.0,8.5)))</f>
        <v/>
      </c>
    </row>
    <row r="6">
      <c r="A6" s="20" t="n">
        <v>5</v>
      </c>
      <c r="B6" s="20">
        <f>INT((A6-1)/12)+1</f>
        <v/>
      </c>
      <c r="C6" s="21">
        <f>Inputs!$B$4*(1+Inputs!$B$5)^INT((A6-1)/12)</f>
        <v/>
      </c>
      <c r="D6" s="22">
        <f>Inputs!$B$11*(1+Inputs!$B$12)^INT((A6-1)/12)</f>
        <v/>
      </c>
      <c r="E6" s="22">
        <f>Inputs!$B$15*(1+Inputs!$B$16)^INT((A6-1)/12)</f>
        <v/>
      </c>
      <c r="F6" s="21">
        <f>J5</f>
        <v/>
      </c>
      <c r="G6" s="21">
        <f>MAX(0,C6-F6)</f>
        <v/>
      </c>
      <c r="H6" s="21">
        <f>G6*Inputs!$B$10</f>
        <v/>
      </c>
      <c r="I6" s="21">
        <f>F6*Inputs!$B$9</f>
        <v/>
      </c>
      <c r="J6" s="21">
        <f>MAX(0,F6+H6-I6)</f>
        <v/>
      </c>
      <c r="K6" s="23">
        <f>IF(C6&gt;0,J6/C6,0)</f>
        <v/>
      </c>
      <c r="L6" s="24">
        <f>J6*D6</f>
        <v/>
      </c>
      <c r="M6" s="24">
        <f>G6*E6</f>
        <v/>
      </c>
      <c r="N6" s="24">
        <f>L6+M6</f>
        <v/>
      </c>
      <c r="O6" s="23">
        <f>IF(N6&gt;0,L6/N6,0)</f>
        <v/>
      </c>
      <c r="P6" s="25">
        <f>IF(K6&lt;0.20,5.0,IF(K6&lt;0.30,5.5,IF(K6&lt;0.40,6.5,7.5)))</f>
        <v/>
      </c>
      <c r="Q6" s="25">
        <f>IF(K6&lt;0.20,5.5,IF(K6&lt;0.30,6.0,IF(K6&lt;0.40,7.0,8.5)))</f>
        <v/>
      </c>
    </row>
    <row r="7">
      <c r="A7" s="26" t="n">
        <v>6</v>
      </c>
      <c r="B7" s="26">
        <f>INT((A7-1)/12)+1</f>
        <v/>
      </c>
      <c r="C7" s="27">
        <f>Inputs!$B$4*(1+Inputs!$B$5)^INT((A7-1)/12)</f>
        <v/>
      </c>
      <c r="D7" s="28">
        <f>Inputs!$B$11*(1+Inputs!$B$12)^INT((A7-1)/12)</f>
        <v/>
      </c>
      <c r="E7" s="28">
        <f>Inputs!$B$15*(1+Inputs!$B$16)^INT((A7-1)/12)</f>
        <v/>
      </c>
      <c r="F7" s="27">
        <f>J6</f>
        <v/>
      </c>
      <c r="G7" s="27">
        <f>MAX(0,C7-F7)</f>
        <v/>
      </c>
      <c r="H7" s="27">
        <f>G7*Inputs!$B$10</f>
        <v/>
      </c>
      <c r="I7" s="27">
        <f>F7*Inputs!$B$9</f>
        <v/>
      </c>
      <c r="J7" s="27">
        <f>MAX(0,F7+H7-I7)</f>
        <v/>
      </c>
      <c r="K7" s="29">
        <f>IF(C7&gt;0,J7/C7,0)</f>
        <v/>
      </c>
      <c r="L7" s="30">
        <f>J7*D7</f>
        <v/>
      </c>
      <c r="M7" s="30">
        <f>G7*E7</f>
        <v/>
      </c>
      <c r="N7" s="30">
        <f>L7+M7</f>
        <v/>
      </c>
      <c r="O7" s="29">
        <f>IF(N7&gt;0,L7/N7,0)</f>
        <v/>
      </c>
      <c r="P7" s="31">
        <f>IF(K7&lt;0.20,5.0,IF(K7&lt;0.30,5.5,IF(K7&lt;0.40,6.5,7.5)))</f>
        <v/>
      </c>
      <c r="Q7" s="31">
        <f>IF(K7&lt;0.20,5.5,IF(K7&lt;0.30,6.0,IF(K7&lt;0.40,7.0,8.5)))</f>
        <v/>
      </c>
    </row>
    <row r="8">
      <c r="A8" s="20" t="n">
        <v>7</v>
      </c>
      <c r="B8" s="20">
        <f>INT((A8-1)/12)+1</f>
        <v/>
      </c>
      <c r="C8" s="21">
        <f>Inputs!$B$4*(1+Inputs!$B$5)^INT((A8-1)/12)</f>
        <v/>
      </c>
      <c r="D8" s="22">
        <f>Inputs!$B$11*(1+Inputs!$B$12)^INT((A8-1)/12)</f>
        <v/>
      </c>
      <c r="E8" s="22">
        <f>Inputs!$B$15*(1+Inputs!$B$16)^INT((A8-1)/12)</f>
        <v/>
      </c>
      <c r="F8" s="21">
        <f>J7</f>
        <v/>
      </c>
      <c r="G8" s="21">
        <f>MAX(0,C8-F8)</f>
        <v/>
      </c>
      <c r="H8" s="21">
        <f>G8*Inputs!$B$10</f>
        <v/>
      </c>
      <c r="I8" s="21">
        <f>F8*Inputs!$B$9</f>
        <v/>
      </c>
      <c r="J8" s="21">
        <f>MAX(0,F8+H8-I8)</f>
        <v/>
      </c>
      <c r="K8" s="23">
        <f>IF(C8&gt;0,J8/C8,0)</f>
        <v/>
      </c>
      <c r="L8" s="24">
        <f>J8*D8</f>
        <v/>
      </c>
      <c r="M8" s="24">
        <f>G8*E8</f>
        <v/>
      </c>
      <c r="N8" s="24">
        <f>L8+M8</f>
        <v/>
      </c>
      <c r="O8" s="23">
        <f>IF(N8&gt;0,L8/N8,0)</f>
        <v/>
      </c>
      <c r="P8" s="25">
        <f>IF(K8&lt;0.20,5.0,IF(K8&lt;0.30,5.5,IF(K8&lt;0.40,6.5,7.5)))</f>
        <v/>
      </c>
      <c r="Q8" s="25">
        <f>IF(K8&lt;0.20,5.5,IF(K8&lt;0.30,6.0,IF(K8&lt;0.40,7.0,8.5)))</f>
        <v/>
      </c>
    </row>
    <row r="9">
      <c r="A9" s="26" t="n">
        <v>8</v>
      </c>
      <c r="B9" s="26">
        <f>INT((A9-1)/12)+1</f>
        <v/>
      </c>
      <c r="C9" s="27">
        <f>Inputs!$B$4*(1+Inputs!$B$5)^INT((A9-1)/12)</f>
        <v/>
      </c>
      <c r="D9" s="28">
        <f>Inputs!$B$11*(1+Inputs!$B$12)^INT((A9-1)/12)</f>
        <v/>
      </c>
      <c r="E9" s="28">
        <f>Inputs!$B$15*(1+Inputs!$B$16)^INT((A9-1)/12)</f>
        <v/>
      </c>
      <c r="F9" s="27">
        <f>J8</f>
        <v/>
      </c>
      <c r="G9" s="27">
        <f>MAX(0,C9-F9)</f>
        <v/>
      </c>
      <c r="H9" s="27">
        <f>G9*Inputs!$B$10</f>
        <v/>
      </c>
      <c r="I9" s="27">
        <f>F9*Inputs!$B$9</f>
        <v/>
      </c>
      <c r="J9" s="27">
        <f>MAX(0,F9+H9-I9)</f>
        <v/>
      </c>
      <c r="K9" s="29">
        <f>IF(C9&gt;0,J9/C9,0)</f>
        <v/>
      </c>
      <c r="L9" s="30">
        <f>J9*D9</f>
        <v/>
      </c>
      <c r="M9" s="30">
        <f>G9*E9</f>
        <v/>
      </c>
      <c r="N9" s="30">
        <f>L9+M9</f>
        <v/>
      </c>
      <c r="O9" s="29">
        <f>IF(N9&gt;0,L9/N9,0)</f>
        <v/>
      </c>
      <c r="P9" s="31">
        <f>IF(K9&lt;0.20,5.0,IF(K9&lt;0.30,5.5,IF(K9&lt;0.40,6.5,7.5)))</f>
        <v/>
      </c>
      <c r="Q9" s="31">
        <f>IF(K9&lt;0.20,5.5,IF(K9&lt;0.30,6.0,IF(K9&lt;0.40,7.0,8.5)))</f>
        <v/>
      </c>
    </row>
    <row r="10">
      <c r="A10" s="20" t="n">
        <v>9</v>
      </c>
      <c r="B10" s="20">
        <f>INT((A10-1)/12)+1</f>
        <v/>
      </c>
      <c r="C10" s="21">
        <f>Inputs!$B$4*(1+Inputs!$B$5)^INT((A10-1)/12)</f>
        <v/>
      </c>
      <c r="D10" s="22">
        <f>Inputs!$B$11*(1+Inputs!$B$12)^INT((A10-1)/12)</f>
        <v/>
      </c>
      <c r="E10" s="22">
        <f>Inputs!$B$15*(1+Inputs!$B$16)^INT((A10-1)/12)</f>
        <v/>
      </c>
      <c r="F10" s="21">
        <f>J9</f>
        <v/>
      </c>
      <c r="G10" s="21">
        <f>MAX(0,C10-F10)</f>
        <v/>
      </c>
      <c r="H10" s="21">
        <f>G10*Inputs!$B$10</f>
        <v/>
      </c>
      <c r="I10" s="21">
        <f>F10*Inputs!$B$9</f>
        <v/>
      </c>
      <c r="J10" s="21">
        <f>MAX(0,F10+H10-I10)</f>
        <v/>
      </c>
      <c r="K10" s="23">
        <f>IF(C10&gt;0,J10/C10,0)</f>
        <v/>
      </c>
      <c r="L10" s="24">
        <f>J10*D10</f>
        <v/>
      </c>
      <c r="M10" s="24">
        <f>G10*E10</f>
        <v/>
      </c>
      <c r="N10" s="24">
        <f>L10+M10</f>
        <v/>
      </c>
      <c r="O10" s="23">
        <f>IF(N10&gt;0,L10/N10,0)</f>
        <v/>
      </c>
      <c r="P10" s="25">
        <f>IF(K10&lt;0.20,5.0,IF(K10&lt;0.30,5.5,IF(K10&lt;0.40,6.5,7.5)))</f>
        <v/>
      </c>
      <c r="Q10" s="25">
        <f>IF(K10&lt;0.20,5.5,IF(K10&lt;0.30,6.0,IF(K10&lt;0.40,7.0,8.5)))</f>
        <v/>
      </c>
    </row>
    <row r="11">
      <c r="A11" s="26" t="n">
        <v>10</v>
      </c>
      <c r="B11" s="26">
        <f>INT((A11-1)/12)+1</f>
        <v/>
      </c>
      <c r="C11" s="27">
        <f>Inputs!$B$4*(1+Inputs!$B$5)^INT((A11-1)/12)</f>
        <v/>
      </c>
      <c r="D11" s="28">
        <f>Inputs!$B$11*(1+Inputs!$B$12)^INT((A11-1)/12)</f>
        <v/>
      </c>
      <c r="E11" s="28">
        <f>Inputs!$B$15*(1+Inputs!$B$16)^INT((A11-1)/12)</f>
        <v/>
      </c>
      <c r="F11" s="27">
        <f>J10</f>
        <v/>
      </c>
      <c r="G11" s="27">
        <f>MAX(0,C11-F11)</f>
        <v/>
      </c>
      <c r="H11" s="27">
        <f>G11*Inputs!$B$10</f>
        <v/>
      </c>
      <c r="I11" s="27">
        <f>F11*Inputs!$B$9</f>
        <v/>
      </c>
      <c r="J11" s="27">
        <f>MAX(0,F11+H11-I11)</f>
        <v/>
      </c>
      <c r="K11" s="29">
        <f>IF(C11&gt;0,J11/C11,0)</f>
        <v/>
      </c>
      <c r="L11" s="30">
        <f>J11*D11</f>
        <v/>
      </c>
      <c r="M11" s="30">
        <f>G11*E11</f>
        <v/>
      </c>
      <c r="N11" s="30">
        <f>L11+M11</f>
        <v/>
      </c>
      <c r="O11" s="29">
        <f>IF(N11&gt;0,L11/N11,0)</f>
        <v/>
      </c>
      <c r="P11" s="31">
        <f>IF(K11&lt;0.20,5.0,IF(K11&lt;0.30,5.5,IF(K11&lt;0.40,6.5,7.5)))</f>
        <v/>
      </c>
      <c r="Q11" s="31">
        <f>IF(K11&lt;0.20,5.5,IF(K11&lt;0.30,6.0,IF(K11&lt;0.40,7.0,8.5)))</f>
        <v/>
      </c>
    </row>
    <row r="12">
      <c r="A12" s="20" t="n">
        <v>11</v>
      </c>
      <c r="B12" s="20">
        <f>INT((A12-1)/12)+1</f>
        <v/>
      </c>
      <c r="C12" s="21">
        <f>Inputs!$B$4*(1+Inputs!$B$5)^INT((A12-1)/12)</f>
        <v/>
      </c>
      <c r="D12" s="22">
        <f>Inputs!$B$11*(1+Inputs!$B$12)^INT((A12-1)/12)</f>
        <v/>
      </c>
      <c r="E12" s="22">
        <f>Inputs!$B$15*(1+Inputs!$B$16)^INT((A12-1)/12)</f>
        <v/>
      </c>
      <c r="F12" s="21">
        <f>J11</f>
        <v/>
      </c>
      <c r="G12" s="21">
        <f>MAX(0,C12-F12)</f>
        <v/>
      </c>
      <c r="H12" s="21">
        <f>G12*Inputs!$B$10</f>
        <v/>
      </c>
      <c r="I12" s="21">
        <f>F12*Inputs!$B$9</f>
        <v/>
      </c>
      <c r="J12" s="21">
        <f>MAX(0,F12+H12-I12)</f>
        <v/>
      </c>
      <c r="K12" s="23">
        <f>IF(C12&gt;0,J12/C12,0)</f>
        <v/>
      </c>
      <c r="L12" s="24">
        <f>J12*D12</f>
        <v/>
      </c>
      <c r="M12" s="24">
        <f>G12*E12</f>
        <v/>
      </c>
      <c r="N12" s="24">
        <f>L12+M12</f>
        <v/>
      </c>
      <c r="O12" s="23">
        <f>IF(N12&gt;0,L12/N12,0)</f>
        <v/>
      </c>
      <c r="P12" s="25">
        <f>IF(K12&lt;0.20,5.0,IF(K12&lt;0.30,5.5,IF(K12&lt;0.40,6.5,7.5)))</f>
        <v/>
      </c>
      <c r="Q12" s="25">
        <f>IF(K12&lt;0.20,5.5,IF(K12&lt;0.30,6.0,IF(K12&lt;0.40,7.0,8.5)))</f>
        <v/>
      </c>
    </row>
    <row r="13">
      <c r="A13" s="26" t="n">
        <v>12</v>
      </c>
      <c r="B13" s="26">
        <f>INT((A13-1)/12)+1</f>
        <v/>
      </c>
      <c r="C13" s="27">
        <f>Inputs!$B$4*(1+Inputs!$B$5)^INT((A13-1)/12)</f>
        <v/>
      </c>
      <c r="D13" s="28">
        <f>Inputs!$B$11*(1+Inputs!$B$12)^INT((A13-1)/12)</f>
        <v/>
      </c>
      <c r="E13" s="28">
        <f>Inputs!$B$15*(1+Inputs!$B$16)^INT((A13-1)/12)</f>
        <v/>
      </c>
      <c r="F13" s="27">
        <f>J12</f>
        <v/>
      </c>
      <c r="G13" s="27">
        <f>MAX(0,C13-F13)</f>
        <v/>
      </c>
      <c r="H13" s="27">
        <f>G13*Inputs!$B$10</f>
        <v/>
      </c>
      <c r="I13" s="27">
        <f>F13*Inputs!$B$9</f>
        <v/>
      </c>
      <c r="J13" s="27">
        <f>MAX(0,F13+H13-I13)</f>
        <v/>
      </c>
      <c r="K13" s="29">
        <f>IF(C13&gt;0,J13/C13,0)</f>
        <v/>
      </c>
      <c r="L13" s="30">
        <f>J13*D13</f>
        <v/>
      </c>
      <c r="M13" s="30">
        <f>G13*E13</f>
        <v/>
      </c>
      <c r="N13" s="30">
        <f>L13+M13</f>
        <v/>
      </c>
      <c r="O13" s="29">
        <f>IF(N13&gt;0,L13/N13,0)</f>
        <v/>
      </c>
      <c r="P13" s="31">
        <f>IF(K13&lt;0.20,5.0,IF(K13&lt;0.30,5.5,IF(K13&lt;0.40,6.5,7.5)))</f>
        <v/>
      </c>
      <c r="Q13" s="31">
        <f>IF(K13&lt;0.20,5.5,IF(K13&lt;0.30,6.0,IF(K13&lt;0.40,7.0,8.5)))</f>
        <v/>
      </c>
    </row>
    <row r="14">
      <c r="A14" s="20" t="n">
        <v>13</v>
      </c>
      <c r="B14" s="20">
        <f>INT((A14-1)/12)+1</f>
        <v/>
      </c>
      <c r="C14" s="21">
        <f>Inputs!$B$4*(1+Inputs!$B$5)^INT((A14-1)/12)</f>
        <v/>
      </c>
      <c r="D14" s="22">
        <f>Inputs!$B$11*(1+Inputs!$B$12)^INT((A14-1)/12)</f>
        <v/>
      </c>
      <c r="E14" s="22">
        <f>Inputs!$B$15*(1+Inputs!$B$16)^INT((A14-1)/12)</f>
        <v/>
      </c>
      <c r="F14" s="21">
        <f>J13</f>
        <v/>
      </c>
      <c r="G14" s="21">
        <f>MAX(0,C14-F14)</f>
        <v/>
      </c>
      <c r="H14" s="21">
        <f>G14*Inputs!$B$10</f>
        <v/>
      </c>
      <c r="I14" s="21">
        <f>F14*Inputs!$B$9</f>
        <v/>
      </c>
      <c r="J14" s="21">
        <f>MAX(0,F14+H14-I14)</f>
        <v/>
      </c>
      <c r="K14" s="23">
        <f>IF(C14&gt;0,J14/C14,0)</f>
        <v/>
      </c>
      <c r="L14" s="24">
        <f>J14*D14</f>
        <v/>
      </c>
      <c r="M14" s="24">
        <f>G14*E14</f>
        <v/>
      </c>
      <c r="N14" s="24">
        <f>L14+M14</f>
        <v/>
      </c>
      <c r="O14" s="23">
        <f>IF(N14&gt;0,L14/N14,0)</f>
        <v/>
      </c>
      <c r="P14" s="25">
        <f>IF(K14&lt;0.20,5.0,IF(K14&lt;0.30,5.5,IF(K14&lt;0.40,6.5,7.5)))</f>
        <v/>
      </c>
      <c r="Q14" s="25">
        <f>IF(K14&lt;0.20,5.5,IF(K14&lt;0.30,6.0,IF(K14&lt;0.40,7.0,8.5)))</f>
        <v/>
      </c>
    </row>
    <row r="15">
      <c r="A15" s="26" t="n">
        <v>14</v>
      </c>
      <c r="B15" s="26">
        <f>INT((A15-1)/12)+1</f>
        <v/>
      </c>
      <c r="C15" s="27">
        <f>Inputs!$B$4*(1+Inputs!$B$5)^INT((A15-1)/12)</f>
        <v/>
      </c>
      <c r="D15" s="28">
        <f>Inputs!$B$11*(1+Inputs!$B$12)^INT((A15-1)/12)</f>
        <v/>
      </c>
      <c r="E15" s="28">
        <f>Inputs!$B$15*(1+Inputs!$B$16)^INT((A15-1)/12)</f>
        <v/>
      </c>
      <c r="F15" s="27">
        <f>J14</f>
        <v/>
      </c>
      <c r="G15" s="27">
        <f>MAX(0,C15-F15)</f>
        <v/>
      </c>
      <c r="H15" s="27">
        <f>G15*Inputs!$B$10</f>
        <v/>
      </c>
      <c r="I15" s="27">
        <f>F15*Inputs!$B$9</f>
        <v/>
      </c>
      <c r="J15" s="27">
        <f>MAX(0,F15+H15-I15)</f>
        <v/>
      </c>
      <c r="K15" s="29">
        <f>IF(C15&gt;0,J15/C15,0)</f>
        <v/>
      </c>
      <c r="L15" s="30">
        <f>J15*D15</f>
        <v/>
      </c>
      <c r="M15" s="30">
        <f>G15*E15</f>
        <v/>
      </c>
      <c r="N15" s="30">
        <f>L15+M15</f>
        <v/>
      </c>
      <c r="O15" s="29">
        <f>IF(N15&gt;0,L15/N15,0)</f>
        <v/>
      </c>
      <c r="P15" s="31">
        <f>IF(K15&lt;0.20,5.0,IF(K15&lt;0.30,5.5,IF(K15&lt;0.40,6.5,7.5)))</f>
        <v/>
      </c>
      <c r="Q15" s="31">
        <f>IF(K15&lt;0.20,5.5,IF(K15&lt;0.30,6.0,IF(K15&lt;0.40,7.0,8.5)))</f>
        <v/>
      </c>
    </row>
    <row r="16">
      <c r="A16" s="20" t="n">
        <v>15</v>
      </c>
      <c r="B16" s="20">
        <f>INT((A16-1)/12)+1</f>
        <v/>
      </c>
      <c r="C16" s="21">
        <f>Inputs!$B$4*(1+Inputs!$B$5)^INT((A16-1)/12)</f>
        <v/>
      </c>
      <c r="D16" s="22">
        <f>Inputs!$B$11*(1+Inputs!$B$12)^INT((A16-1)/12)</f>
        <v/>
      </c>
      <c r="E16" s="22">
        <f>Inputs!$B$15*(1+Inputs!$B$16)^INT((A16-1)/12)</f>
        <v/>
      </c>
      <c r="F16" s="21">
        <f>J15</f>
        <v/>
      </c>
      <c r="G16" s="21">
        <f>MAX(0,C16-F16)</f>
        <v/>
      </c>
      <c r="H16" s="21">
        <f>G16*Inputs!$B$10</f>
        <v/>
      </c>
      <c r="I16" s="21">
        <f>F16*Inputs!$B$9</f>
        <v/>
      </c>
      <c r="J16" s="21">
        <f>MAX(0,F16+H16-I16)</f>
        <v/>
      </c>
      <c r="K16" s="23">
        <f>IF(C16&gt;0,J16/C16,0)</f>
        <v/>
      </c>
      <c r="L16" s="24">
        <f>J16*D16</f>
        <v/>
      </c>
      <c r="M16" s="24">
        <f>G16*E16</f>
        <v/>
      </c>
      <c r="N16" s="24">
        <f>L16+M16</f>
        <v/>
      </c>
      <c r="O16" s="23">
        <f>IF(N16&gt;0,L16/N16,0)</f>
        <v/>
      </c>
      <c r="P16" s="25">
        <f>IF(K16&lt;0.20,5.0,IF(K16&lt;0.30,5.5,IF(K16&lt;0.40,6.5,7.5)))</f>
        <v/>
      </c>
      <c r="Q16" s="25">
        <f>IF(K16&lt;0.20,5.5,IF(K16&lt;0.30,6.0,IF(K16&lt;0.40,7.0,8.5)))</f>
        <v/>
      </c>
    </row>
    <row r="17">
      <c r="A17" s="26" t="n">
        <v>16</v>
      </c>
      <c r="B17" s="26">
        <f>INT((A17-1)/12)+1</f>
        <v/>
      </c>
      <c r="C17" s="27">
        <f>Inputs!$B$4*(1+Inputs!$B$5)^INT((A17-1)/12)</f>
        <v/>
      </c>
      <c r="D17" s="28">
        <f>Inputs!$B$11*(1+Inputs!$B$12)^INT((A17-1)/12)</f>
        <v/>
      </c>
      <c r="E17" s="28">
        <f>Inputs!$B$15*(1+Inputs!$B$16)^INT((A17-1)/12)</f>
        <v/>
      </c>
      <c r="F17" s="27">
        <f>J16</f>
        <v/>
      </c>
      <c r="G17" s="27">
        <f>MAX(0,C17-F17)</f>
        <v/>
      </c>
      <c r="H17" s="27">
        <f>G17*Inputs!$B$10</f>
        <v/>
      </c>
      <c r="I17" s="27">
        <f>F17*Inputs!$B$9</f>
        <v/>
      </c>
      <c r="J17" s="27">
        <f>MAX(0,F17+H17-I17)</f>
        <v/>
      </c>
      <c r="K17" s="29">
        <f>IF(C17&gt;0,J17/C17,0)</f>
        <v/>
      </c>
      <c r="L17" s="30">
        <f>J17*D17</f>
        <v/>
      </c>
      <c r="M17" s="30">
        <f>G17*E17</f>
        <v/>
      </c>
      <c r="N17" s="30">
        <f>L17+M17</f>
        <v/>
      </c>
      <c r="O17" s="29">
        <f>IF(N17&gt;0,L17/N17,0)</f>
        <v/>
      </c>
      <c r="P17" s="31">
        <f>IF(K17&lt;0.20,5.0,IF(K17&lt;0.30,5.5,IF(K17&lt;0.40,6.5,7.5)))</f>
        <v/>
      </c>
      <c r="Q17" s="31">
        <f>IF(K17&lt;0.20,5.5,IF(K17&lt;0.30,6.0,IF(K17&lt;0.40,7.0,8.5)))</f>
        <v/>
      </c>
    </row>
    <row r="18">
      <c r="A18" s="20" t="n">
        <v>17</v>
      </c>
      <c r="B18" s="20">
        <f>INT((A18-1)/12)+1</f>
        <v/>
      </c>
      <c r="C18" s="21">
        <f>Inputs!$B$4*(1+Inputs!$B$5)^INT((A18-1)/12)</f>
        <v/>
      </c>
      <c r="D18" s="22">
        <f>Inputs!$B$11*(1+Inputs!$B$12)^INT((A18-1)/12)</f>
        <v/>
      </c>
      <c r="E18" s="22">
        <f>Inputs!$B$15*(1+Inputs!$B$16)^INT((A18-1)/12)</f>
        <v/>
      </c>
      <c r="F18" s="21">
        <f>J17</f>
        <v/>
      </c>
      <c r="G18" s="21">
        <f>MAX(0,C18-F18)</f>
        <v/>
      </c>
      <c r="H18" s="21">
        <f>G18*Inputs!$B$10</f>
        <v/>
      </c>
      <c r="I18" s="21">
        <f>F18*Inputs!$B$9</f>
        <v/>
      </c>
      <c r="J18" s="21">
        <f>MAX(0,F18+H18-I18)</f>
        <v/>
      </c>
      <c r="K18" s="23">
        <f>IF(C18&gt;0,J18/C18,0)</f>
        <v/>
      </c>
      <c r="L18" s="24">
        <f>J18*D18</f>
        <v/>
      </c>
      <c r="M18" s="24">
        <f>G18*E18</f>
        <v/>
      </c>
      <c r="N18" s="24">
        <f>L18+M18</f>
        <v/>
      </c>
      <c r="O18" s="23">
        <f>IF(N18&gt;0,L18/N18,0)</f>
        <v/>
      </c>
      <c r="P18" s="25">
        <f>IF(K18&lt;0.20,5.0,IF(K18&lt;0.30,5.5,IF(K18&lt;0.40,6.5,7.5)))</f>
        <v/>
      </c>
      <c r="Q18" s="25">
        <f>IF(K18&lt;0.20,5.5,IF(K18&lt;0.30,6.0,IF(K18&lt;0.40,7.0,8.5)))</f>
        <v/>
      </c>
    </row>
    <row r="19">
      <c r="A19" s="26" t="n">
        <v>18</v>
      </c>
      <c r="B19" s="26">
        <f>INT((A19-1)/12)+1</f>
        <v/>
      </c>
      <c r="C19" s="27">
        <f>Inputs!$B$4*(1+Inputs!$B$5)^INT((A19-1)/12)</f>
        <v/>
      </c>
      <c r="D19" s="28">
        <f>Inputs!$B$11*(1+Inputs!$B$12)^INT((A19-1)/12)</f>
        <v/>
      </c>
      <c r="E19" s="28">
        <f>Inputs!$B$15*(1+Inputs!$B$16)^INT((A19-1)/12)</f>
        <v/>
      </c>
      <c r="F19" s="27">
        <f>J18</f>
        <v/>
      </c>
      <c r="G19" s="27">
        <f>MAX(0,C19-F19)</f>
        <v/>
      </c>
      <c r="H19" s="27">
        <f>G19*Inputs!$B$10</f>
        <v/>
      </c>
      <c r="I19" s="27">
        <f>F19*Inputs!$B$9</f>
        <v/>
      </c>
      <c r="J19" s="27">
        <f>MAX(0,F19+H19-I19)</f>
        <v/>
      </c>
      <c r="K19" s="29">
        <f>IF(C19&gt;0,J19/C19,0)</f>
        <v/>
      </c>
      <c r="L19" s="30">
        <f>J19*D19</f>
        <v/>
      </c>
      <c r="M19" s="30">
        <f>G19*E19</f>
        <v/>
      </c>
      <c r="N19" s="30">
        <f>L19+M19</f>
        <v/>
      </c>
      <c r="O19" s="29">
        <f>IF(N19&gt;0,L19/N19,0)</f>
        <v/>
      </c>
      <c r="P19" s="31">
        <f>IF(K19&lt;0.20,5.0,IF(K19&lt;0.30,5.5,IF(K19&lt;0.40,6.5,7.5)))</f>
        <v/>
      </c>
      <c r="Q19" s="31">
        <f>IF(K19&lt;0.20,5.5,IF(K19&lt;0.30,6.0,IF(K19&lt;0.40,7.0,8.5)))</f>
        <v/>
      </c>
    </row>
    <row r="20">
      <c r="A20" s="20" t="n">
        <v>19</v>
      </c>
      <c r="B20" s="20">
        <f>INT((A20-1)/12)+1</f>
        <v/>
      </c>
      <c r="C20" s="21">
        <f>Inputs!$B$4*(1+Inputs!$B$5)^INT((A20-1)/12)</f>
        <v/>
      </c>
      <c r="D20" s="22">
        <f>Inputs!$B$11*(1+Inputs!$B$12)^INT((A20-1)/12)</f>
        <v/>
      </c>
      <c r="E20" s="22">
        <f>Inputs!$B$15*(1+Inputs!$B$16)^INT((A20-1)/12)</f>
        <v/>
      </c>
      <c r="F20" s="21">
        <f>J19</f>
        <v/>
      </c>
      <c r="G20" s="21">
        <f>MAX(0,C20-F20)</f>
        <v/>
      </c>
      <c r="H20" s="21">
        <f>G20*Inputs!$B$10</f>
        <v/>
      </c>
      <c r="I20" s="21">
        <f>F20*Inputs!$B$9</f>
        <v/>
      </c>
      <c r="J20" s="21">
        <f>MAX(0,F20+H20-I20)</f>
        <v/>
      </c>
      <c r="K20" s="23">
        <f>IF(C20&gt;0,J20/C20,0)</f>
        <v/>
      </c>
      <c r="L20" s="24">
        <f>J20*D20</f>
        <v/>
      </c>
      <c r="M20" s="24">
        <f>G20*E20</f>
        <v/>
      </c>
      <c r="N20" s="24">
        <f>L20+M20</f>
        <v/>
      </c>
      <c r="O20" s="23">
        <f>IF(N20&gt;0,L20/N20,0)</f>
        <v/>
      </c>
      <c r="P20" s="25">
        <f>IF(K20&lt;0.20,5.0,IF(K20&lt;0.30,5.5,IF(K20&lt;0.40,6.5,7.5)))</f>
        <v/>
      </c>
      <c r="Q20" s="25">
        <f>IF(K20&lt;0.20,5.5,IF(K20&lt;0.30,6.0,IF(K20&lt;0.40,7.0,8.5)))</f>
        <v/>
      </c>
    </row>
    <row r="21">
      <c r="A21" s="26" t="n">
        <v>20</v>
      </c>
      <c r="B21" s="26">
        <f>INT((A21-1)/12)+1</f>
        <v/>
      </c>
      <c r="C21" s="27">
        <f>Inputs!$B$4*(1+Inputs!$B$5)^INT((A21-1)/12)</f>
        <v/>
      </c>
      <c r="D21" s="28">
        <f>Inputs!$B$11*(1+Inputs!$B$12)^INT((A21-1)/12)</f>
        <v/>
      </c>
      <c r="E21" s="28">
        <f>Inputs!$B$15*(1+Inputs!$B$16)^INT((A21-1)/12)</f>
        <v/>
      </c>
      <c r="F21" s="27">
        <f>J20</f>
        <v/>
      </c>
      <c r="G21" s="27">
        <f>MAX(0,C21-F21)</f>
        <v/>
      </c>
      <c r="H21" s="27">
        <f>G21*Inputs!$B$10</f>
        <v/>
      </c>
      <c r="I21" s="27">
        <f>F21*Inputs!$B$9</f>
        <v/>
      </c>
      <c r="J21" s="27">
        <f>MAX(0,F21+H21-I21)</f>
        <v/>
      </c>
      <c r="K21" s="29">
        <f>IF(C21&gt;0,J21/C21,0)</f>
        <v/>
      </c>
      <c r="L21" s="30">
        <f>J21*D21</f>
        <v/>
      </c>
      <c r="M21" s="30">
        <f>G21*E21</f>
        <v/>
      </c>
      <c r="N21" s="30">
        <f>L21+M21</f>
        <v/>
      </c>
      <c r="O21" s="29">
        <f>IF(N21&gt;0,L21/N21,0)</f>
        <v/>
      </c>
      <c r="P21" s="31">
        <f>IF(K21&lt;0.20,5.0,IF(K21&lt;0.30,5.5,IF(K21&lt;0.40,6.5,7.5)))</f>
        <v/>
      </c>
      <c r="Q21" s="31">
        <f>IF(K21&lt;0.20,5.5,IF(K21&lt;0.30,6.0,IF(K21&lt;0.40,7.0,8.5)))</f>
        <v/>
      </c>
    </row>
    <row r="22">
      <c r="A22" s="20" t="n">
        <v>21</v>
      </c>
      <c r="B22" s="20">
        <f>INT((A22-1)/12)+1</f>
        <v/>
      </c>
      <c r="C22" s="21">
        <f>Inputs!$B$4*(1+Inputs!$B$5)^INT((A22-1)/12)</f>
        <v/>
      </c>
      <c r="D22" s="22">
        <f>Inputs!$B$11*(1+Inputs!$B$12)^INT((A22-1)/12)</f>
        <v/>
      </c>
      <c r="E22" s="22">
        <f>Inputs!$B$15*(1+Inputs!$B$16)^INT((A22-1)/12)</f>
        <v/>
      </c>
      <c r="F22" s="21">
        <f>J21</f>
        <v/>
      </c>
      <c r="G22" s="21">
        <f>MAX(0,C22-F22)</f>
        <v/>
      </c>
      <c r="H22" s="21">
        <f>G22*Inputs!$B$10</f>
        <v/>
      </c>
      <c r="I22" s="21">
        <f>F22*Inputs!$B$9</f>
        <v/>
      </c>
      <c r="J22" s="21">
        <f>MAX(0,F22+H22-I22)</f>
        <v/>
      </c>
      <c r="K22" s="23">
        <f>IF(C22&gt;0,J22/C22,0)</f>
        <v/>
      </c>
      <c r="L22" s="24">
        <f>J22*D22</f>
        <v/>
      </c>
      <c r="M22" s="24">
        <f>G22*E22</f>
        <v/>
      </c>
      <c r="N22" s="24">
        <f>L22+M22</f>
        <v/>
      </c>
      <c r="O22" s="23">
        <f>IF(N22&gt;0,L22/N22,0)</f>
        <v/>
      </c>
      <c r="P22" s="25">
        <f>IF(K22&lt;0.20,5.0,IF(K22&lt;0.30,5.5,IF(K22&lt;0.40,6.5,7.5)))</f>
        <v/>
      </c>
      <c r="Q22" s="25">
        <f>IF(K22&lt;0.20,5.5,IF(K22&lt;0.30,6.0,IF(K22&lt;0.40,7.0,8.5)))</f>
        <v/>
      </c>
    </row>
    <row r="23">
      <c r="A23" s="26" t="n">
        <v>22</v>
      </c>
      <c r="B23" s="26">
        <f>INT((A23-1)/12)+1</f>
        <v/>
      </c>
      <c r="C23" s="27">
        <f>Inputs!$B$4*(1+Inputs!$B$5)^INT((A23-1)/12)</f>
        <v/>
      </c>
      <c r="D23" s="28">
        <f>Inputs!$B$11*(1+Inputs!$B$12)^INT((A23-1)/12)</f>
        <v/>
      </c>
      <c r="E23" s="28">
        <f>Inputs!$B$15*(1+Inputs!$B$16)^INT((A23-1)/12)</f>
        <v/>
      </c>
      <c r="F23" s="27">
        <f>J22</f>
        <v/>
      </c>
      <c r="G23" s="27">
        <f>MAX(0,C23-F23)</f>
        <v/>
      </c>
      <c r="H23" s="27">
        <f>G23*Inputs!$B$10</f>
        <v/>
      </c>
      <c r="I23" s="27">
        <f>F23*Inputs!$B$9</f>
        <v/>
      </c>
      <c r="J23" s="27">
        <f>MAX(0,F23+H23-I23)</f>
        <v/>
      </c>
      <c r="K23" s="29">
        <f>IF(C23&gt;0,J23/C23,0)</f>
        <v/>
      </c>
      <c r="L23" s="30">
        <f>J23*D23</f>
        <v/>
      </c>
      <c r="M23" s="30">
        <f>G23*E23</f>
        <v/>
      </c>
      <c r="N23" s="30">
        <f>L23+M23</f>
        <v/>
      </c>
      <c r="O23" s="29">
        <f>IF(N23&gt;0,L23/N23,0)</f>
        <v/>
      </c>
      <c r="P23" s="31">
        <f>IF(K23&lt;0.20,5.0,IF(K23&lt;0.30,5.5,IF(K23&lt;0.40,6.5,7.5)))</f>
        <v/>
      </c>
      <c r="Q23" s="31">
        <f>IF(K23&lt;0.20,5.5,IF(K23&lt;0.30,6.0,IF(K23&lt;0.40,7.0,8.5)))</f>
        <v/>
      </c>
    </row>
    <row r="24">
      <c r="A24" s="20" t="n">
        <v>23</v>
      </c>
      <c r="B24" s="20">
        <f>INT((A24-1)/12)+1</f>
        <v/>
      </c>
      <c r="C24" s="21">
        <f>Inputs!$B$4*(1+Inputs!$B$5)^INT((A24-1)/12)</f>
        <v/>
      </c>
      <c r="D24" s="22">
        <f>Inputs!$B$11*(1+Inputs!$B$12)^INT((A24-1)/12)</f>
        <v/>
      </c>
      <c r="E24" s="22">
        <f>Inputs!$B$15*(1+Inputs!$B$16)^INT((A24-1)/12)</f>
        <v/>
      </c>
      <c r="F24" s="21">
        <f>J23</f>
        <v/>
      </c>
      <c r="G24" s="21">
        <f>MAX(0,C24-F24)</f>
        <v/>
      </c>
      <c r="H24" s="21">
        <f>G24*Inputs!$B$10</f>
        <v/>
      </c>
      <c r="I24" s="21">
        <f>F24*Inputs!$B$9</f>
        <v/>
      </c>
      <c r="J24" s="21">
        <f>MAX(0,F24+H24-I24)</f>
        <v/>
      </c>
      <c r="K24" s="23">
        <f>IF(C24&gt;0,J24/C24,0)</f>
        <v/>
      </c>
      <c r="L24" s="24">
        <f>J24*D24</f>
        <v/>
      </c>
      <c r="M24" s="24">
        <f>G24*E24</f>
        <v/>
      </c>
      <c r="N24" s="24">
        <f>L24+M24</f>
        <v/>
      </c>
      <c r="O24" s="23">
        <f>IF(N24&gt;0,L24/N24,0)</f>
        <v/>
      </c>
      <c r="P24" s="25">
        <f>IF(K24&lt;0.20,5.0,IF(K24&lt;0.30,5.5,IF(K24&lt;0.40,6.5,7.5)))</f>
        <v/>
      </c>
      <c r="Q24" s="25">
        <f>IF(K24&lt;0.20,5.5,IF(K24&lt;0.30,6.0,IF(K24&lt;0.40,7.0,8.5)))</f>
        <v/>
      </c>
    </row>
    <row r="25">
      <c r="A25" s="26" t="n">
        <v>24</v>
      </c>
      <c r="B25" s="26">
        <f>INT((A25-1)/12)+1</f>
        <v/>
      </c>
      <c r="C25" s="27">
        <f>Inputs!$B$4*(1+Inputs!$B$5)^INT((A25-1)/12)</f>
        <v/>
      </c>
      <c r="D25" s="28">
        <f>Inputs!$B$11*(1+Inputs!$B$12)^INT((A25-1)/12)</f>
        <v/>
      </c>
      <c r="E25" s="28">
        <f>Inputs!$B$15*(1+Inputs!$B$16)^INT((A25-1)/12)</f>
        <v/>
      </c>
      <c r="F25" s="27">
        <f>J24</f>
        <v/>
      </c>
      <c r="G25" s="27">
        <f>MAX(0,C25-F25)</f>
        <v/>
      </c>
      <c r="H25" s="27">
        <f>G25*Inputs!$B$10</f>
        <v/>
      </c>
      <c r="I25" s="27">
        <f>F25*Inputs!$B$9</f>
        <v/>
      </c>
      <c r="J25" s="27">
        <f>MAX(0,F25+H25-I25)</f>
        <v/>
      </c>
      <c r="K25" s="29">
        <f>IF(C25&gt;0,J25/C25,0)</f>
        <v/>
      </c>
      <c r="L25" s="30">
        <f>J25*D25</f>
        <v/>
      </c>
      <c r="M25" s="30">
        <f>G25*E25</f>
        <v/>
      </c>
      <c r="N25" s="30">
        <f>L25+M25</f>
        <v/>
      </c>
      <c r="O25" s="29">
        <f>IF(N25&gt;0,L25/N25,0)</f>
        <v/>
      </c>
      <c r="P25" s="31">
        <f>IF(K25&lt;0.20,5.0,IF(K25&lt;0.30,5.5,IF(K25&lt;0.40,6.5,7.5)))</f>
        <v/>
      </c>
      <c r="Q25" s="31">
        <f>IF(K25&lt;0.20,5.5,IF(K25&lt;0.30,6.0,IF(K25&lt;0.40,7.0,8.5)))</f>
        <v/>
      </c>
    </row>
    <row r="26">
      <c r="A26" s="20" t="n">
        <v>25</v>
      </c>
      <c r="B26" s="20">
        <f>INT((A26-1)/12)+1</f>
        <v/>
      </c>
      <c r="C26" s="21">
        <f>Inputs!$B$4*(1+Inputs!$B$5)^INT((A26-1)/12)</f>
        <v/>
      </c>
      <c r="D26" s="22">
        <f>Inputs!$B$11*(1+Inputs!$B$12)^INT((A26-1)/12)</f>
        <v/>
      </c>
      <c r="E26" s="22">
        <f>Inputs!$B$15*(1+Inputs!$B$16)^INT((A26-1)/12)</f>
        <v/>
      </c>
      <c r="F26" s="21">
        <f>J25</f>
        <v/>
      </c>
      <c r="G26" s="21">
        <f>MAX(0,C26-F26)</f>
        <v/>
      </c>
      <c r="H26" s="21">
        <f>G26*Inputs!$B$10</f>
        <v/>
      </c>
      <c r="I26" s="21">
        <f>F26*Inputs!$B$9</f>
        <v/>
      </c>
      <c r="J26" s="21">
        <f>MAX(0,F26+H26-I26)</f>
        <v/>
      </c>
      <c r="K26" s="23">
        <f>IF(C26&gt;0,J26/C26,0)</f>
        <v/>
      </c>
      <c r="L26" s="24">
        <f>J26*D26</f>
        <v/>
      </c>
      <c r="M26" s="24">
        <f>G26*E26</f>
        <v/>
      </c>
      <c r="N26" s="24">
        <f>L26+M26</f>
        <v/>
      </c>
      <c r="O26" s="23">
        <f>IF(N26&gt;0,L26/N26,0)</f>
        <v/>
      </c>
      <c r="P26" s="25">
        <f>IF(K26&lt;0.20,5.0,IF(K26&lt;0.30,5.5,IF(K26&lt;0.40,6.5,7.5)))</f>
        <v/>
      </c>
      <c r="Q26" s="25">
        <f>IF(K26&lt;0.20,5.5,IF(K26&lt;0.30,6.0,IF(K26&lt;0.40,7.0,8.5)))</f>
        <v/>
      </c>
    </row>
    <row r="27">
      <c r="A27" s="26" t="n">
        <v>26</v>
      </c>
      <c r="B27" s="26">
        <f>INT((A27-1)/12)+1</f>
        <v/>
      </c>
      <c r="C27" s="27">
        <f>Inputs!$B$4*(1+Inputs!$B$5)^INT((A27-1)/12)</f>
        <v/>
      </c>
      <c r="D27" s="28">
        <f>Inputs!$B$11*(1+Inputs!$B$12)^INT((A27-1)/12)</f>
        <v/>
      </c>
      <c r="E27" s="28">
        <f>Inputs!$B$15*(1+Inputs!$B$16)^INT((A27-1)/12)</f>
        <v/>
      </c>
      <c r="F27" s="27">
        <f>J26</f>
        <v/>
      </c>
      <c r="G27" s="27">
        <f>MAX(0,C27-F27)</f>
        <v/>
      </c>
      <c r="H27" s="27">
        <f>G27*Inputs!$B$10</f>
        <v/>
      </c>
      <c r="I27" s="27">
        <f>F27*Inputs!$B$9</f>
        <v/>
      </c>
      <c r="J27" s="27">
        <f>MAX(0,F27+H27-I27)</f>
        <v/>
      </c>
      <c r="K27" s="29">
        <f>IF(C27&gt;0,J27/C27,0)</f>
        <v/>
      </c>
      <c r="L27" s="30">
        <f>J27*D27</f>
        <v/>
      </c>
      <c r="M27" s="30">
        <f>G27*E27</f>
        <v/>
      </c>
      <c r="N27" s="30">
        <f>L27+M27</f>
        <v/>
      </c>
      <c r="O27" s="29">
        <f>IF(N27&gt;0,L27/N27,0)</f>
        <v/>
      </c>
      <c r="P27" s="31">
        <f>IF(K27&lt;0.20,5.0,IF(K27&lt;0.30,5.5,IF(K27&lt;0.40,6.5,7.5)))</f>
        <v/>
      </c>
      <c r="Q27" s="31">
        <f>IF(K27&lt;0.20,5.5,IF(K27&lt;0.30,6.0,IF(K27&lt;0.40,7.0,8.5)))</f>
        <v/>
      </c>
    </row>
    <row r="28">
      <c r="A28" s="20" t="n">
        <v>27</v>
      </c>
      <c r="B28" s="20">
        <f>INT((A28-1)/12)+1</f>
        <v/>
      </c>
      <c r="C28" s="21">
        <f>Inputs!$B$4*(1+Inputs!$B$5)^INT((A28-1)/12)</f>
        <v/>
      </c>
      <c r="D28" s="22">
        <f>Inputs!$B$11*(1+Inputs!$B$12)^INT((A28-1)/12)</f>
        <v/>
      </c>
      <c r="E28" s="22">
        <f>Inputs!$B$15*(1+Inputs!$B$16)^INT((A28-1)/12)</f>
        <v/>
      </c>
      <c r="F28" s="21">
        <f>J27</f>
        <v/>
      </c>
      <c r="G28" s="21">
        <f>MAX(0,C28-F28)</f>
        <v/>
      </c>
      <c r="H28" s="21">
        <f>G28*Inputs!$B$10</f>
        <v/>
      </c>
      <c r="I28" s="21">
        <f>F28*Inputs!$B$9</f>
        <v/>
      </c>
      <c r="J28" s="21">
        <f>MAX(0,F28+H28-I28)</f>
        <v/>
      </c>
      <c r="K28" s="23">
        <f>IF(C28&gt;0,J28/C28,0)</f>
        <v/>
      </c>
      <c r="L28" s="24">
        <f>J28*D28</f>
        <v/>
      </c>
      <c r="M28" s="24">
        <f>G28*E28</f>
        <v/>
      </c>
      <c r="N28" s="24">
        <f>L28+M28</f>
        <v/>
      </c>
      <c r="O28" s="23">
        <f>IF(N28&gt;0,L28/N28,0)</f>
        <v/>
      </c>
      <c r="P28" s="25">
        <f>IF(K28&lt;0.20,5.0,IF(K28&lt;0.30,5.5,IF(K28&lt;0.40,6.5,7.5)))</f>
        <v/>
      </c>
      <c r="Q28" s="25">
        <f>IF(K28&lt;0.20,5.5,IF(K28&lt;0.30,6.0,IF(K28&lt;0.40,7.0,8.5)))</f>
        <v/>
      </c>
    </row>
    <row r="29">
      <c r="A29" s="26" t="n">
        <v>28</v>
      </c>
      <c r="B29" s="26">
        <f>INT((A29-1)/12)+1</f>
        <v/>
      </c>
      <c r="C29" s="27">
        <f>Inputs!$B$4*(1+Inputs!$B$5)^INT((A29-1)/12)</f>
        <v/>
      </c>
      <c r="D29" s="28">
        <f>Inputs!$B$11*(1+Inputs!$B$12)^INT((A29-1)/12)</f>
        <v/>
      </c>
      <c r="E29" s="28">
        <f>Inputs!$B$15*(1+Inputs!$B$16)^INT((A29-1)/12)</f>
        <v/>
      </c>
      <c r="F29" s="27">
        <f>J28</f>
        <v/>
      </c>
      <c r="G29" s="27">
        <f>MAX(0,C29-F29)</f>
        <v/>
      </c>
      <c r="H29" s="27">
        <f>G29*Inputs!$B$10</f>
        <v/>
      </c>
      <c r="I29" s="27">
        <f>F29*Inputs!$B$9</f>
        <v/>
      </c>
      <c r="J29" s="27">
        <f>MAX(0,F29+H29-I29)</f>
        <v/>
      </c>
      <c r="K29" s="29">
        <f>IF(C29&gt;0,J29/C29,0)</f>
        <v/>
      </c>
      <c r="L29" s="30">
        <f>J29*D29</f>
        <v/>
      </c>
      <c r="M29" s="30">
        <f>G29*E29</f>
        <v/>
      </c>
      <c r="N29" s="30">
        <f>L29+M29</f>
        <v/>
      </c>
      <c r="O29" s="29">
        <f>IF(N29&gt;0,L29/N29,0)</f>
        <v/>
      </c>
      <c r="P29" s="31">
        <f>IF(K29&lt;0.20,5.0,IF(K29&lt;0.30,5.5,IF(K29&lt;0.40,6.5,7.5)))</f>
        <v/>
      </c>
      <c r="Q29" s="31">
        <f>IF(K29&lt;0.20,5.5,IF(K29&lt;0.30,6.0,IF(K29&lt;0.40,7.0,8.5)))</f>
        <v/>
      </c>
    </row>
    <row r="30">
      <c r="A30" s="20" t="n">
        <v>29</v>
      </c>
      <c r="B30" s="20">
        <f>INT((A30-1)/12)+1</f>
        <v/>
      </c>
      <c r="C30" s="21">
        <f>Inputs!$B$4*(1+Inputs!$B$5)^INT((A30-1)/12)</f>
        <v/>
      </c>
      <c r="D30" s="22">
        <f>Inputs!$B$11*(1+Inputs!$B$12)^INT((A30-1)/12)</f>
        <v/>
      </c>
      <c r="E30" s="22">
        <f>Inputs!$B$15*(1+Inputs!$B$16)^INT((A30-1)/12)</f>
        <v/>
      </c>
      <c r="F30" s="21">
        <f>J29</f>
        <v/>
      </c>
      <c r="G30" s="21">
        <f>MAX(0,C30-F30)</f>
        <v/>
      </c>
      <c r="H30" s="21">
        <f>G30*Inputs!$B$10</f>
        <v/>
      </c>
      <c r="I30" s="21">
        <f>F30*Inputs!$B$9</f>
        <v/>
      </c>
      <c r="J30" s="21">
        <f>MAX(0,F30+H30-I30)</f>
        <v/>
      </c>
      <c r="K30" s="23">
        <f>IF(C30&gt;0,J30/C30,0)</f>
        <v/>
      </c>
      <c r="L30" s="24">
        <f>J30*D30</f>
        <v/>
      </c>
      <c r="M30" s="24">
        <f>G30*E30</f>
        <v/>
      </c>
      <c r="N30" s="24">
        <f>L30+M30</f>
        <v/>
      </c>
      <c r="O30" s="23">
        <f>IF(N30&gt;0,L30/N30,0)</f>
        <v/>
      </c>
      <c r="P30" s="25">
        <f>IF(K30&lt;0.20,5.0,IF(K30&lt;0.30,5.5,IF(K30&lt;0.40,6.5,7.5)))</f>
        <v/>
      </c>
      <c r="Q30" s="25">
        <f>IF(K30&lt;0.20,5.5,IF(K30&lt;0.30,6.0,IF(K30&lt;0.40,7.0,8.5)))</f>
        <v/>
      </c>
    </row>
    <row r="31">
      <c r="A31" s="26" t="n">
        <v>30</v>
      </c>
      <c r="B31" s="26">
        <f>INT((A31-1)/12)+1</f>
        <v/>
      </c>
      <c r="C31" s="27">
        <f>Inputs!$B$4*(1+Inputs!$B$5)^INT((A31-1)/12)</f>
        <v/>
      </c>
      <c r="D31" s="28">
        <f>Inputs!$B$11*(1+Inputs!$B$12)^INT((A31-1)/12)</f>
        <v/>
      </c>
      <c r="E31" s="28">
        <f>Inputs!$B$15*(1+Inputs!$B$16)^INT((A31-1)/12)</f>
        <v/>
      </c>
      <c r="F31" s="27">
        <f>J30</f>
        <v/>
      </c>
      <c r="G31" s="27">
        <f>MAX(0,C31-F31)</f>
        <v/>
      </c>
      <c r="H31" s="27">
        <f>G31*Inputs!$B$10</f>
        <v/>
      </c>
      <c r="I31" s="27">
        <f>F31*Inputs!$B$9</f>
        <v/>
      </c>
      <c r="J31" s="27">
        <f>MAX(0,F31+H31-I31)</f>
        <v/>
      </c>
      <c r="K31" s="29">
        <f>IF(C31&gt;0,J31/C31,0)</f>
        <v/>
      </c>
      <c r="L31" s="30">
        <f>J31*D31</f>
        <v/>
      </c>
      <c r="M31" s="30">
        <f>G31*E31</f>
        <v/>
      </c>
      <c r="N31" s="30">
        <f>L31+M31</f>
        <v/>
      </c>
      <c r="O31" s="29">
        <f>IF(N31&gt;0,L31/N31,0)</f>
        <v/>
      </c>
      <c r="P31" s="31">
        <f>IF(K31&lt;0.20,5.0,IF(K31&lt;0.30,5.5,IF(K31&lt;0.40,6.5,7.5)))</f>
        <v/>
      </c>
      <c r="Q31" s="31">
        <f>IF(K31&lt;0.20,5.5,IF(K31&lt;0.30,6.0,IF(K31&lt;0.40,7.0,8.5)))</f>
        <v/>
      </c>
    </row>
    <row r="32">
      <c r="A32" s="20" t="n">
        <v>31</v>
      </c>
      <c r="B32" s="20">
        <f>INT((A32-1)/12)+1</f>
        <v/>
      </c>
      <c r="C32" s="21">
        <f>Inputs!$B$4*(1+Inputs!$B$5)^INT((A32-1)/12)</f>
        <v/>
      </c>
      <c r="D32" s="22">
        <f>Inputs!$B$11*(1+Inputs!$B$12)^INT((A32-1)/12)</f>
        <v/>
      </c>
      <c r="E32" s="22">
        <f>Inputs!$B$15*(1+Inputs!$B$16)^INT((A32-1)/12)</f>
        <v/>
      </c>
      <c r="F32" s="21">
        <f>J31</f>
        <v/>
      </c>
      <c r="G32" s="21">
        <f>MAX(0,C32-F32)</f>
        <v/>
      </c>
      <c r="H32" s="21">
        <f>G32*Inputs!$B$10</f>
        <v/>
      </c>
      <c r="I32" s="21">
        <f>F32*Inputs!$B$9</f>
        <v/>
      </c>
      <c r="J32" s="21">
        <f>MAX(0,F32+H32-I32)</f>
        <v/>
      </c>
      <c r="K32" s="23">
        <f>IF(C32&gt;0,J32/C32,0)</f>
        <v/>
      </c>
      <c r="L32" s="24">
        <f>J32*D32</f>
        <v/>
      </c>
      <c r="M32" s="24">
        <f>G32*E32</f>
        <v/>
      </c>
      <c r="N32" s="24">
        <f>L32+M32</f>
        <v/>
      </c>
      <c r="O32" s="23">
        <f>IF(N32&gt;0,L32/N32,0)</f>
        <v/>
      </c>
      <c r="P32" s="25">
        <f>IF(K32&lt;0.20,5.0,IF(K32&lt;0.30,5.5,IF(K32&lt;0.40,6.5,7.5)))</f>
        <v/>
      </c>
      <c r="Q32" s="25">
        <f>IF(K32&lt;0.20,5.5,IF(K32&lt;0.30,6.0,IF(K32&lt;0.40,7.0,8.5)))</f>
        <v/>
      </c>
    </row>
    <row r="33">
      <c r="A33" s="26" t="n">
        <v>32</v>
      </c>
      <c r="B33" s="26">
        <f>INT((A33-1)/12)+1</f>
        <v/>
      </c>
      <c r="C33" s="27">
        <f>Inputs!$B$4*(1+Inputs!$B$5)^INT((A33-1)/12)</f>
        <v/>
      </c>
      <c r="D33" s="28">
        <f>Inputs!$B$11*(1+Inputs!$B$12)^INT((A33-1)/12)</f>
        <v/>
      </c>
      <c r="E33" s="28">
        <f>Inputs!$B$15*(1+Inputs!$B$16)^INT((A33-1)/12)</f>
        <v/>
      </c>
      <c r="F33" s="27">
        <f>J32</f>
        <v/>
      </c>
      <c r="G33" s="27">
        <f>MAX(0,C33-F33)</f>
        <v/>
      </c>
      <c r="H33" s="27">
        <f>G33*Inputs!$B$10</f>
        <v/>
      </c>
      <c r="I33" s="27">
        <f>F33*Inputs!$B$9</f>
        <v/>
      </c>
      <c r="J33" s="27">
        <f>MAX(0,F33+H33-I33)</f>
        <v/>
      </c>
      <c r="K33" s="29">
        <f>IF(C33&gt;0,J33/C33,0)</f>
        <v/>
      </c>
      <c r="L33" s="30">
        <f>J33*D33</f>
        <v/>
      </c>
      <c r="M33" s="30">
        <f>G33*E33</f>
        <v/>
      </c>
      <c r="N33" s="30">
        <f>L33+M33</f>
        <v/>
      </c>
      <c r="O33" s="29">
        <f>IF(N33&gt;0,L33/N33,0)</f>
        <v/>
      </c>
      <c r="P33" s="31">
        <f>IF(K33&lt;0.20,5.0,IF(K33&lt;0.30,5.5,IF(K33&lt;0.40,6.5,7.5)))</f>
        <v/>
      </c>
      <c r="Q33" s="31">
        <f>IF(K33&lt;0.20,5.5,IF(K33&lt;0.30,6.0,IF(K33&lt;0.40,7.0,8.5)))</f>
        <v/>
      </c>
    </row>
    <row r="34">
      <c r="A34" s="20" t="n">
        <v>33</v>
      </c>
      <c r="B34" s="20">
        <f>INT((A34-1)/12)+1</f>
        <v/>
      </c>
      <c r="C34" s="21">
        <f>Inputs!$B$4*(1+Inputs!$B$5)^INT((A34-1)/12)</f>
        <v/>
      </c>
      <c r="D34" s="22">
        <f>Inputs!$B$11*(1+Inputs!$B$12)^INT((A34-1)/12)</f>
        <v/>
      </c>
      <c r="E34" s="22">
        <f>Inputs!$B$15*(1+Inputs!$B$16)^INT((A34-1)/12)</f>
        <v/>
      </c>
      <c r="F34" s="21">
        <f>J33</f>
        <v/>
      </c>
      <c r="G34" s="21">
        <f>MAX(0,C34-F34)</f>
        <v/>
      </c>
      <c r="H34" s="21">
        <f>G34*Inputs!$B$10</f>
        <v/>
      </c>
      <c r="I34" s="21">
        <f>F34*Inputs!$B$9</f>
        <v/>
      </c>
      <c r="J34" s="21">
        <f>MAX(0,F34+H34-I34)</f>
        <v/>
      </c>
      <c r="K34" s="23">
        <f>IF(C34&gt;0,J34/C34,0)</f>
        <v/>
      </c>
      <c r="L34" s="24">
        <f>J34*D34</f>
        <v/>
      </c>
      <c r="M34" s="24">
        <f>G34*E34</f>
        <v/>
      </c>
      <c r="N34" s="24">
        <f>L34+M34</f>
        <v/>
      </c>
      <c r="O34" s="23">
        <f>IF(N34&gt;0,L34/N34,0)</f>
        <v/>
      </c>
      <c r="P34" s="25">
        <f>IF(K34&lt;0.20,5.0,IF(K34&lt;0.30,5.5,IF(K34&lt;0.40,6.5,7.5)))</f>
        <v/>
      </c>
      <c r="Q34" s="25">
        <f>IF(K34&lt;0.20,5.5,IF(K34&lt;0.30,6.0,IF(K34&lt;0.40,7.0,8.5)))</f>
        <v/>
      </c>
    </row>
    <row r="35">
      <c r="A35" s="26" t="n">
        <v>34</v>
      </c>
      <c r="B35" s="26">
        <f>INT((A35-1)/12)+1</f>
        <v/>
      </c>
      <c r="C35" s="27">
        <f>Inputs!$B$4*(1+Inputs!$B$5)^INT((A35-1)/12)</f>
        <v/>
      </c>
      <c r="D35" s="28">
        <f>Inputs!$B$11*(1+Inputs!$B$12)^INT((A35-1)/12)</f>
        <v/>
      </c>
      <c r="E35" s="28">
        <f>Inputs!$B$15*(1+Inputs!$B$16)^INT((A35-1)/12)</f>
        <v/>
      </c>
      <c r="F35" s="27">
        <f>J34</f>
        <v/>
      </c>
      <c r="G35" s="27">
        <f>MAX(0,C35-F35)</f>
        <v/>
      </c>
      <c r="H35" s="27">
        <f>G35*Inputs!$B$10</f>
        <v/>
      </c>
      <c r="I35" s="27">
        <f>F35*Inputs!$B$9</f>
        <v/>
      </c>
      <c r="J35" s="27">
        <f>MAX(0,F35+H35-I35)</f>
        <v/>
      </c>
      <c r="K35" s="29">
        <f>IF(C35&gt;0,J35/C35,0)</f>
        <v/>
      </c>
      <c r="L35" s="30">
        <f>J35*D35</f>
        <v/>
      </c>
      <c r="M35" s="30">
        <f>G35*E35</f>
        <v/>
      </c>
      <c r="N35" s="30">
        <f>L35+M35</f>
        <v/>
      </c>
      <c r="O35" s="29">
        <f>IF(N35&gt;0,L35/N35,0)</f>
        <v/>
      </c>
      <c r="P35" s="31">
        <f>IF(K35&lt;0.20,5.0,IF(K35&lt;0.30,5.5,IF(K35&lt;0.40,6.5,7.5)))</f>
        <v/>
      </c>
      <c r="Q35" s="31">
        <f>IF(K35&lt;0.20,5.5,IF(K35&lt;0.30,6.0,IF(K35&lt;0.40,7.0,8.5)))</f>
        <v/>
      </c>
    </row>
    <row r="36">
      <c r="A36" s="20" t="n">
        <v>35</v>
      </c>
      <c r="B36" s="20">
        <f>INT((A36-1)/12)+1</f>
        <v/>
      </c>
      <c r="C36" s="21">
        <f>Inputs!$B$4*(1+Inputs!$B$5)^INT((A36-1)/12)</f>
        <v/>
      </c>
      <c r="D36" s="22">
        <f>Inputs!$B$11*(1+Inputs!$B$12)^INT((A36-1)/12)</f>
        <v/>
      </c>
      <c r="E36" s="22">
        <f>Inputs!$B$15*(1+Inputs!$B$16)^INT((A36-1)/12)</f>
        <v/>
      </c>
      <c r="F36" s="21">
        <f>J35</f>
        <v/>
      </c>
      <c r="G36" s="21">
        <f>MAX(0,C36-F36)</f>
        <v/>
      </c>
      <c r="H36" s="21">
        <f>G36*Inputs!$B$10</f>
        <v/>
      </c>
      <c r="I36" s="21">
        <f>F36*Inputs!$B$9</f>
        <v/>
      </c>
      <c r="J36" s="21">
        <f>MAX(0,F36+H36-I36)</f>
        <v/>
      </c>
      <c r="K36" s="23">
        <f>IF(C36&gt;0,J36/C36,0)</f>
        <v/>
      </c>
      <c r="L36" s="24">
        <f>J36*D36</f>
        <v/>
      </c>
      <c r="M36" s="24">
        <f>G36*E36</f>
        <v/>
      </c>
      <c r="N36" s="24">
        <f>L36+M36</f>
        <v/>
      </c>
      <c r="O36" s="23">
        <f>IF(N36&gt;0,L36/N36,0)</f>
        <v/>
      </c>
      <c r="P36" s="25">
        <f>IF(K36&lt;0.20,5.0,IF(K36&lt;0.30,5.5,IF(K36&lt;0.40,6.5,7.5)))</f>
        <v/>
      </c>
      <c r="Q36" s="25">
        <f>IF(K36&lt;0.20,5.5,IF(K36&lt;0.30,6.0,IF(K36&lt;0.40,7.0,8.5)))</f>
        <v/>
      </c>
    </row>
    <row r="37">
      <c r="A37" s="26" t="n">
        <v>36</v>
      </c>
      <c r="B37" s="26">
        <f>INT((A37-1)/12)+1</f>
        <v/>
      </c>
      <c r="C37" s="27">
        <f>Inputs!$B$4*(1+Inputs!$B$5)^INT((A37-1)/12)</f>
        <v/>
      </c>
      <c r="D37" s="28">
        <f>Inputs!$B$11*(1+Inputs!$B$12)^INT((A37-1)/12)</f>
        <v/>
      </c>
      <c r="E37" s="28">
        <f>Inputs!$B$15*(1+Inputs!$B$16)^INT((A37-1)/12)</f>
        <v/>
      </c>
      <c r="F37" s="27">
        <f>J36</f>
        <v/>
      </c>
      <c r="G37" s="27">
        <f>MAX(0,C37-F37)</f>
        <v/>
      </c>
      <c r="H37" s="27">
        <f>G37*Inputs!$B$10</f>
        <v/>
      </c>
      <c r="I37" s="27">
        <f>F37*Inputs!$B$9</f>
        <v/>
      </c>
      <c r="J37" s="27">
        <f>MAX(0,F37+H37-I37)</f>
        <v/>
      </c>
      <c r="K37" s="29">
        <f>IF(C37&gt;0,J37/C37,0)</f>
        <v/>
      </c>
      <c r="L37" s="30">
        <f>J37*D37</f>
        <v/>
      </c>
      <c r="M37" s="30">
        <f>G37*E37</f>
        <v/>
      </c>
      <c r="N37" s="30">
        <f>L37+M37</f>
        <v/>
      </c>
      <c r="O37" s="29">
        <f>IF(N37&gt;0,L37/N37,0)</f>
        <v/>
      </c>
      <c r="P37" s="31">
        <f>IF(K37&lt;0.20,5.0,IF(K37&lt;0.30,5.5,IF(K37&lt;0.40,6.5,7.5)))</f>
        <v/>
      </c>
      <c r="Q37" s="31">
        <f>IF(K37&lt;0.20,5.5,IF(K37&lt;0.30,6.0,IF(K37&lt;0.40,7.0,8.5)))</f>
        <v/>
      </c>
    </row>
    <row r="38">
      <c r="A38" s="20" t="n">
        <v>37</v>
      </c>
      <c r="B38" s="20">
        <f>INT((A38-1)/12)+1</f>
        <v/>
      </c>
      <c r="C38" s="21">
        <f>Inputs!$B$4*(1+Inputs!$B$5)^INT((A38-1)/12)</f>
        <v/>
      </c>
      <c r="D38" s="22">
        <f>Inputs!$B$11*(1+Inputs!$B$12)^INT((A38-1)/12)</f>
        <v/>
      </c>
      <c r="E38" s="22">
        <f>Inputs!$B$15*(1+Inputs!$B$16)^INT((A38-1)/12)</f>
        <v/>
      </c>
      <c r="F38" s="21">
        <f>J37</f>
        <v/>
      </c>
      <c r="G38" s="21">
        <f>MAX(0,C38-F38)</f>
        <v/>
      </c>
      <c r="H38" s="21">
        <f>G38*Inputs!$B$10</f>
        <v/>
      </c>
      <c r="I38" s="21">
        <f>F38*Inputs!$B$9</f>
        <v/>
      </c>
      <c r="J38" s="21">
        <f>MAX(0,F38+H38-I38)</f>
        <v/>
      </c>
      <c r="K38" s="23">
        <f>IF(C38&gt;0,J38/C38,0)</f>
        <v/>
      </c>
      <c r="L38" s="24">
        <f>J38*D38</f>
        <v/>
      </c>
      <c r="M38" s="24">
        <f>G38*E38</f>
        <v/>
      </c>
      <c r="N38" s="24">
        <f>L38+M38</f>
        <v/>
      </c>
      <c r="O38" s="23">
        <f>IF(N38&gt;0,L38/N38,0)</f>
        <v/>
      </c>
      <c r="P38" s="25">
        <f>IF(K38&lt;0.20,5.0,IF(K38&lt;0.30,5.5,IF(K38&lt;0.40,6.5,7.5)))</f>
        <v/>
      </c>
      <c r="Q38" s="25">
        <f>IF(K38&lt;0.20,5.5,IF(K38&lt;0.30,6.0,IF(K38&lt;0.40,7.0,8.5)))</f>
        <v/>
      </c>
    </row>
    <row r="39">
      <c r="A39" s="26" t="n">
        <v>38</v>
      </c>
      <c r="B39" s="26">
        <f>INT((A39-1)/12)+1</f>
        <v/>
      </c>
      <c r="C39" s="27">
        <f>Inputs!$B$4*(1+Inputs!$B$5)^INT((A39-1)/12)</f>
        <v/>
      </c>
      <c r="D39" s="28">
        <f>Inputs!$B$11*(1+Inputs!$B$12)^INT((A39-1)/12)</f>
        <v/>
      </c>
      <c r="E39" s="28">
        <f>Inputs!$B$15*(1+Inputs!$B$16)^INT((A39-1)/12)</f>
        <v/>
      </c>
      <c r="F39" s="27">
        <f>J38</f>
        <v/>
      </c>
      <c r="G39" s="27">
        <f>MAX(0,C39-F39)</f>
        <v/>
      </c>
      <c r="H39" s="27">
        <f>G39*Inputs!$B$10</f>
        <v/>
      </c>
      <c r="I39" s="27">
        <f>F39*Inputs!$B$9</f>
        <v/>
      </c>
      <c r="J39" s="27">
        <f>MAX(0,F39+H39-I39)</f>
        <v/>
      </c>
      <c r="K39" s="29">
        <f>IF(C39&gt;0,J39/C39,0)</f>
        <v/>
      </c>
      <c r="L39" s="30">
        <f>J39*D39</f>
        <v/>
      </c>
      <c r="M39" s="30">
        <f>G39*E39</f>
        <v/>
      </c>
      <c r="N39" s="30">
        <f>L39+M39</f>
        <v/>
      </c>
      <c r="O39" s="29">
        <f>IF(N39&gt;0,L39/N39,0)</f>
        <v/>
      </c>
      <c r="P39" s="31">
        <f>IF(K39&lt;0.20,5.0,IF(K39&lt;0.30,5.5,IF(K39&lt;0.40,6.5,7.5)))</f>
        <v/>
      </c>
      <c r="Q39" s="31">
        <f>IF(K39&lt;0.20,5.5,IF(K39&lt;0.30,6.0,IF(K39&lt;0.40,7.0,8.5)))</f>
        <v/>
      </c>
    </row>
    <row r="40">
      <c r="A40" s="20" t="n">
        <v>39</v>
      </c>
      <c r="B40" s="20">
        <f>INT((A40-1)/12)+1</f>
        <v/>
      </c>
      <c r="C40" s="21">
        <f>Inputs!$B$4*(1+Inputs!$B$5)^INT((A40-1)/12)</f>
        <v/>
      </c>
      <c r="D40" s="22">
        <f>Inputs!$B$11*(1+Inputs!$B$12)^INT((A40-1)/12)</f>
        <v/>
      </c>
      <c r="E40" s="22">
        <f>Inputs!$B$15*(1+Inputs!$B$16)^INT((A40-1)/12)</f>
        <v/>
      </c>
      <c r="F40" s="21">
        <f>J39</f>
        <v/>
      </c>
      <c r="G40" s="21">
        <f>MAX(0,C40-F40)</f>
        <v/>
      </c>
      <c r="H40" s="21">
        <f>G40*Inputs!$B$10</f>
        <v/>
      </c>
      <c r="I40" s="21">
        <f>F40*Inputs!$B$9</f>
        <v/>
      </c>
      <c r="J40" s="21">
        <f>MAX(0,F40+H40-I40)</f>
        <v/>
      </c>
      <c r="K40" s="23">
        <f>IF(C40&gt;0,J40/C40,0)</f>
        <v/>
      </c>
      <c r="L40" s="24">
        <f>J40*D40</f>
        <v/>
      </c>
      <c r="M40" s="24">
        <f>G40*E40</f>
        <v/>
      </c>
      <c r="N40" s="24">
        <f>L40+M40</f>
        <v/>
      </c>
      <c r="O40" s="23">
        <f>IF(N40&gt;0,L40/N40,0)</f>
        <v/>
      </c>
      <c r="P40" s="25">
        <f>IF(K40&lt;0.20,5.0,IF(K40&lt;0.30,5.5,IF(K40&lt;0.40,6.5,7.5)))</f>
        <v/>
      </c>
      <c r="Q40" s="25">
        <f>IF(K40&lt;0.20,5.5,IF(K40&lt;0.30,6.0,IF(K40&lt;0.40,7.0,8.5)))</f>
        <v/>
      </c>
    </row>
    <row r="41">
      <c r="A41" s="26" t="n">
        <v>40</v>
      </c>
      <c r="B41" s="26">
        <f>INT((A41-1)/12)+1</f>
        <v/>
      </c>
      <c r="C41" s="27">
        <f>Inputs!$B$4*(1+Inputs!$B$5)^INT((A41-1)/12)</f>
        <v/>
      </c>
      <c r="D41" s="28">
        <f>Inputs!$B$11*(1+Inputs!$B$12)^INT((A41-1)/12)</f>
        <v/>
      </c>
      <c r="E41" s="28">
        <f>Inputs!$B$15*(1+Inputs!$B$16)^INT((A41-1)/12)</f>
        <v/>
      </c>
      <c r="F41" s="27">
        <f>J40</f>
        <v/>
      </c>
      <c r="G41" s="27">
        <f>MAX(0,C41-F41)</f>
        <v/>
      </c>
      <c r="H41" s="27">
        <f>G41*Inputs!$B$10</f>
        <v/>
      </c>
      <c r="I41" s="27">
        <f>F41*Inputs!$B$9</f>
        <v/>
      </c>
      <c r="J41" s="27">
        <f>MAX(0,F41+H41-I41)</f>
        <v/>
      </c>
      <c r="K41" s="29">
        <f>IF(C41&gt;0,J41/C41,0)</f>
        <v/>
      </c>
      <c r="L41" s="30">
        <f>J41*D41</f>
        <v/>
      </c>
      <c r="M41" s="30">
        <f>G41*E41</f>
        <v/>
      </c>
      <c r="N41" s="30">
        <f>L41+M41</f>
        <v/>
      </c>
      <c r="O41" s="29">
        <f>IF(N41&gt;0,L41/N41,0)</f>
        <v/>
      </c>
      <c r="P41" s="31">
        <f>IF(K41&lt;0.20,5.0,IF(K41&lt;0.30,5.5,IF(K41&lt;0.40,6.5,7.5)))</f>
        <v/>
      </c>
      <c r="Q41" s="31">
        <f>IF(K41&lt;0.20,5.5,IF(K41&lt;0.30,6.0,IF(K41&lt;0.40,7.0,8.5)))</f>
        <v/>
      </c>
    </row>
    <row r="42">
      <c r="A42" s="20" t="n">
        <v>41</v>
      </c>
      <c r="B42" s="20">
        <f>INT((A42-1)/12)+1</f>
        <v/>
      </c>
      <c r="C42" s="21">
        <f>Inputs!$B$4*(1+Inputs!$B$5)^INT((A42-1)/12)</f>
        <v/>
      </c>
      <c r="D42" s="22">
        <f>Inputs!$B$11*(1+Inputs!$B$12)^INT((A42-1)/12)</f>
        <v/>
      </c>
      <c r="E42" s="22">
        <f>Inputs!$B$15*(1+Inputs!$B$16)^INT((A42-1)/12)</f>
        <v/>
      </c>
      <c r="F42" s="21">
        <f>J41</f>
        <v/>
      </c>
      <c r="G42" s="21">
        <f>MAX(0,C42-F42)</f>
        <v/>
      </c>
      <c r="H42" s="21">
        <f>G42*Inputs!$B$10</f>
        <v/>
      </c>
      <c r="I42" s="21">
        <f>F42*Inputs!$B$9</f>
        <v/>
      </c>
      <c r="J42" s="21">
        <f>MAX(0,F42+H42-I42)</f>
        <v/>
      </c>
      <c r="K42" s="23">
        <f>IF(C42&gt;0,J42/C42,0)</f>
        <v/>
      </c>
      <c r="L42" s="24">
        <f>J42*D42</f>
        <v/>
      </c>
      <c r="M42" s="24">
        <f>G42*E42</f>
        <v/>
      </c>
      <c r="N42" s="24">
        <f>L42+M42</f>
        <v/>
      </c>
      <c r="O42" s="23">
        <f>IF(N42&gt;0,L42/N42,0)</f>
        <v/>
      </c>
      <c r="P42" s="25">
        <f>IF(K42&lt;0.20,5.0,IF(K42&lt;0.30,5.5,IF(K42&lt;0.40,6.5,7.5)))</f>
        <v/>
      </c>
      <c r="Q42" s="25">
        <f>IF(K42&lt;0.20,5.5,IF(K42&lt;0.30,6.0,IF(K42&lt;0.40,7.0,8.5)))</f>
        <v/>
      </c>
    </row>
    <row r="43">
      <c r="A43" s="26" t="n">
        <v>42</v>
      </c>
      <c r="B43" s="26">
        <f>INT((A43-1)/12)+1</f>
        <v/>
      </c>
      <c r="C43" s="27">
        <f>Inputs!$B$4*(1+Inputs!$B$5)^INT((A43-1)/12)</f>
        <v/>
      </c>
      <c r="D43" s="28">
        <f>Inputs!$B$11*(1+Inputs!$B$12)^INT((A43-1)/12)</f>
        <v/>
      </c>
      <c r="E43" s="28">
        <f>Inputs!$B$15*(1+Inputs!$B$16)^INT((A43-1)/12)</f>
        <v/>
      </c>
      <c r="F43" s="27">
        <f>J42</f>
        <v/>
      </c>
      <c r="G43" s="27">
        <f>MAX(0,C43-F43)</f>
        <v/>
      </c>
      <c r="H43" s="27">
        <f>G43*Inputs!$B$10</f>
        <v/>
      </c>
      <c r="I43" s="27">
        <f>F43*Inputs!$B$9</f>
        <v/>
      </c>
      <c r="J43" s="27">
        <f>MAX(0,F43+H43-I43)</f>
        <v/>
      </c>
      <c r="K43" s="29">
        <f>IF(C43&gt;0,J43/C43,0)</f>
        <v/>
      </c>
      <c r="L43" s="30">
        <f>J43*D43</f>
        <v/>
      </c>
      <c r="M43" s="30">
        <f>G43*E43</f>
        <v/>
      </c>
      <c r="N43" s="30">
        <f>L43+M43</f>
        <v/>
      </c>
      <c r="O43" s="29">
        <f>IF(N43&gt;0,L43/N43,0)</f>
        <v/>
      </c>
      <c r="P43" s="31">
        <f>IF(K43&lt;0.20,5.0,IF(K43&lt;0.30,5.5,IF(K43&lt;0.40,6.5,7.5)))</f>
        <v/>
      </c>
      <c r="Q43" s="31">
        <f>IF(K43&lt;0.20,5.5,IF(K43&lt;0.30,6.0,IF(K43&lt;0.40,7.0,8.5)))</f>
        <v/>
      </c>
    </row>
    <row r="44">
      <c r="A44" s="20" t="n">
        <v>43</v>
      </c>
      <c r="B44" s="20">
        <f>INT((A44-1)/12)+1</f>
        <v/>
      </c>
      <c r="C44" s="21">
        <f>Inputs!$B$4*(1+Inputs!$B$5)^INT((A44-1)/12)</f>
        <v/>
      </c>
      <c r="D44" s="22">
        <f>Inputs!$B$11*(1+Inputs!$B$12)^INT((A44-1)/12)</f>
        <v/>
      </c>
      <c r="E44" s="22">
        <f>Inputs!$B$15*(1+Inputs!$B$16)^INT((A44-1)/12)</f>
        <v/>
      </c>
      <c r="F44" s="21">
        <f>J43</f>
        <v/>
      </c>
      <c r="G44" s="21">
        <f>MAX(0,C44-F44)</f>
        <v/>
      </c>
      <c r="H44" s="21">
        <f>G44*Inputs!$B$10</f>
        <v/>
      </c>
      <c r="I44" s="21">
        <f>F44*Inputs!$B$9</f>
        <v/>
      </c>
      <c r="J44" s="21">
        <f>MAX(0,F44+H44-I44)</f>
        <v/>
      </c>
      <c r="K44" s="23">
        <f>IF(C44&gt;0,J44/C44,0)</f>
        <v/>
      </c>
      <c r="L44" s="24">
        <f>J44*D44</f>
        <v/>
      </c>
      <c r="M44" s="24">
        <f>G44*E44</f>
        <v/>
      </c>
      <c r="N44" s="24">
        <f>L44+M44</f>
        <v/>
      </c>
      <c r="O44" s="23">
        <f>IF(N44&gt;0,L44/N44,0)</f>
        <v/>
      </c>
      <c r="P44" s="25">
        <f>IF(K44&lt;0.20,5.0,IF(K44&lt;0.30,5.5,IF(K44&lt;0.40,6.5,7.5)))</f>
        <v/>
      </c>
      <c r="Q44" s="25">
        <f>IF(K44&lt;0.20,5.5,IF(K44&lt;0.30,6.0,IF(K44&lt;0.40,7.0,8.5)))</f>
        <v/>
      </c>
    </row>
    <row r="45">
      <c r="A45" s="26" t="n">
        <v>44</v>
      </c>
      <c r="B45" s="26">
        <f>INT((A45-1)/12)+1</f>
        <v/>
      </c>
      <c r="C45" s="27">
        <f>Inputs!$B$4*(1+Inputs!$B$5)^INT((A45-1)/12)</f>
        <v/>
      </c>
      <c r="D45" s="28">
        <f>Inputs!$B$11*(1+Inputs!$B$12)^INT((A45-1)/12)</f>
        <v/>
      </c>
      <c r="E45" s="28">
        <f>Inputs!$B$15*(1+Inputs!$B$16)^INT((A45-1)/12)</f>
        <v/>
      </c>
      <c r="F45" s="27">
        <f>J44</f>
        <v/>
      </c>
      <c r="G45" s="27">
        <f>MAX(0,C45-F45)</f>
        <v/>
      </c>
      <c r="H45" s="27">
        <f>G45*Inputs!$B$10</f>
        <v/>
      </c>
      <c r="I45" s="27">
        <f>F45*Inputs!$B$9</f>
        <v/>
      </c>
      <c r="J45" s="27">
        <f>MAX(0,F45+H45-I45)</f>
        <v/>
      </c>
      <c r="K45" s="29">
        <f>IF(C45&gt;0,J45/C45,0)</f>
        <v/>
      </c>
      <c r="L45" s="30">
        <f>J45*D45</f>
        <v/>
      </c>
      <c r="M45" s="30">
        <f>G45*E45</f>
        <v/>
      </c>
      <c r="N45" s="30">
        <f>L45+M45</f>
        <v/>
      </c>
      <c r="O45" s="29">
        <f>IF(N45&gt;0,L45/N45,0)</f>
        <v/>
      </c>
      <c r="P45" s="31">
        <f>IF(K45&lt;0.20,5.0,IF(K45&lt;0.30,5.5,IF(K45&lt;0.40,6.5,7.5)))</f>
        <v/>
      </c>
      <c r="Q45" s="31">
        <f>IF(K45&lt;0.20,5.5,IF(K45&lt;0.30,6.0,IF(K45&lt;0.40,7.0,8.5)))</f>
        <v/>
      </c>
    </row>
    <row r="46">
      <c r="A46" s="20" t="n">
        <v>45</v>
      </c>
      <c r="B46" s="20">
        <f>INT((A46-1)/12)+1</f>
        <v/>
      </c>
      <c r="C46" s="21">
        <f>Inputs!$B$4*(1+Inputs!$B$5)^INT((A46-1)/12)</f>
        <v/>
      </c>
      <c r="D46" s="22">
        <f>Inputs!$B$11*(1+Inputs!$B$12)^INT((A46-1)/12)</f>
        <v/>
      </c>
      <c r="E46" s="22">
        <f>Inputs!$B$15*(1+Inputs!$B$16)^INT((A46-1)/12)</f>
        <v/>
      </c>
      <c r="F46" s="21">
        <f>J45</f>
        <v/>
      </c>
      <c r="G46" s="21">
        <f>MAX(0,C46-F46)</f>
        <v/>
      </c>
      <c r="H46" s="21">
        <f>G46*Inputs!$B$10</f>
        <v/>
      </c>
      <c r="I46" s="21">
        <f>F46*Inputs!$B$9</f>
        <v/>
      </c>
      <c r="J46" s="21">
        <f>MAX(0,F46+H46-I46)</f>
        <v/>
      </c>
      <c r="K46" s="23">
        <f>IF(C46&gt;0,J46/C46,0)</f>
        <v/>
      </c>
      <c r="L46" s="24">
        <f>J46*D46</f>
        <v/>
      </c>
      <c r="M46" s="24">
        <f>G46*E46</f>
        <v/>
      </c>
      <c r="N46" s="24">
        <f>L46+M46</f>
        <v/>
      </c>
      <c r="O46" s="23">
        <f>IF(N46&gt;0,L46/N46,0)</f>
        <v/>
      </c>
      <c r="P46" s="25">
        <f>IF(K46&lt;0.20,5.0,IF(K46&lt;0.30,5.5,IF(K46&lt;0.40,6.5,7.5)))</f>
        <v/>
      </c>
      <c r="Q46" s="25">
        <f>IF(K46&lt;0.20,5.5,IF(K46&lt;0.30,6.0,IF(K46&lt;0.40,7.0,8.5)))</f>
        <v/>
      </c>
    </row>
    <row r="47">
      <c r="A47" s="26" t="n">
        <v>46</v>
      </c>
      <c r="B47" s="26">
        <f>INT((A47-1)/12)+1</f>
        <v/>
      </c>
      <c r="C47" s="27">
        <f>Inputs!$B$4*(1+Inputs!$B$5)^INT((A47-1)/12)</f>
        <v/>
      </c>
      <c r="D47" s="28">
        <f>Inputs!$B$11*(1+Inputs!$B$12)^INT((A47-1)/12)</f>
        <v/>
      </c>
      <c r="E47" s="28">
        <f>Inputs!$B$15*(1+Inputs!$B$16)^INT((A47-1)/12)</f>
        <v/>
      </c>
      <c r="F47" s="27">
        <f>J46</f>
        <v/>
      </c>
      <c r="G47" s="27">
        <f>MAX(0,C47-F47)</f>
        <v/>
      </c>
      <c r="H47" s="27">
        <f>G47*Inputs!$B$10</f>
        <v/>
      </c>
      <c r="I47" s="27">
        <f>F47*Inputs!$B$9</f>
        <v/>
      </c>
      <c r="J47" s="27">
        <f>MAX(0,F47+H47-I47)</f>
        <v/>
      </c>
      <c r="K47" s="29">
        <f>IF(C47&gt;0,J47/C47,0)</f>
        <v/>
      </c>
      <c r="L47" s="30">
        <f>J47*D47</f>
        <v/>
      </c>
      <c r="M47" s="30">
        <f>G47*E47</f>
        <v/>
      </c>
      <c r="N47" s="30">
        <f>L47+M47</f>
        <v/>
      </c>
      <c r="O47" s="29">
        <f>IF(N47&gt;0,L47/N47,0)</f>
        <v/>
      </c>
      <c r="P47" s="31">
        <f>IF(K47&lt;0.20,5.0,IF(K47&lt;0.30,5.5,IF(K47&lt;0.40,6.5,7.5)))</f>
        <v/>
      </c>
      <c r="Q47" s="31">
        <f>IF(K47&lt;0.20,5.5,IF(K47&lt;0.30,6.0,IF(K47&lt;0.40,7.0,8.5)))</f>
        <v/>
      </c>
    </row>
    <row r="48">
      <c r="A48" s="20" t="n">
        <v>47</v>
      </c>
      <c r="B48" s="20">
        <f>INT((A48-1)/12)+1</f>
        <v/>
      </c>
      <c r="C48" s="21">
        <f>Inputs!$B$4*(1+Inputs!$B$5)^INT((A48-1)/12)</f>
        <v/>
      </c>
      <c r="D48" s="22">
        <f>Inputs!$B$11*(1+Inputs!$B$12)^INT((A48-1)/12)</f>
        <v/>
      </c>
      <c r="E48" s="22">
        <f>Inputs!$B$15*(1+Inputs!$B$16)^INT((A48-1)/12)</f>
        <v/>
      </c>
      <c r="F48" s="21">
        <f>J47</f>
        <v/>
      </c>
      <c r="G48" s="21">
        <f>MAX(0,C48-F48)</f>
        <v/>
      </c>
      <c r="H48" s="21">
        <f>G48*Inputs!$B$10</f>
        <v/>
      </c>
      <c r="I48" s="21">
        <f>F48*Inputs!$B$9</f>
        <v/>
      </c>
      <c r="J48" s="21">
        <f>MAX(0,F48+H48-I48)</f>
        <v/>
      </c>
      <c r="K48" s="23">
        <f>IF(C48&gt;0,J48/C48,0)</f>
        <v/>
      </c>
      <c r="L48" s="24">
        <f>J48*D48</f>
        <v/>
      </c>
      <c r="M48" s="24">
        <f>G48*E48</f>
        <v/>
      </c>
      <c r="N48" s="24">
        <f>L48+M48</f>
        <v/>
      </c>
      <c r="O48" s="23">
        <f>IF(N48&gt;0,L48/N48,0)</f>
        <v/>
      </c>
      <c r="P48" s="25">
        <f>IF(K48&lt;0.20,5.0,IF(K48&lt;0.30,5.5,IF(K48&lt;0.40,6.5,7.5)))</f>
        <v/>
      </c>
      <c r="Q48" s="25">
        <f>IF(K48&lt;0.20,5.5,IF(K48&lt;0.30,6.0,IF(K48&lt;0.40,7.0,8.5)))</f>
        <v/>
      </c>
    </row>
    <row r="49">
      <c r="A49" s="26" t="n">
        <v>48</v>
      </c>
      <c r="B49" s="26">
        <f>INT((A49-1)/12)+1</f>
        <v/>
      </c>
      <c r="C49" s="27">
        <f>Inputs!$B$4*(1+Inputs!$B$5)^INT((A49-1)/12)</f>
        <v/>
      </c>
      <c r="D49" s="28">
        <f>Inputs!$B$11*(1+Inputs!$B$12)^INT((A49-1)/12)</f>
        <v/>
      </c>
      <c r="E49" s="28">
        <f>Inputs!$B$15*(1+Inputs!$B$16)^INT((A49-1)/12)</f>
        <v/>
      </c>
      <c r="F49" s="27">
        <f>J48</f>
        <v/>
      </c>
      <c r="G49" s="27">
        <f>MAX(0,C49-F49)</f>
        <v/>
      </c>
      <c r="H49" s="27">
        <f>G49*Inputs!$B$10</f>
        <v/>
      </c>
      <c r="I49" s="27">
        <f>F49*Inputs!$B$9</f>
        <v/>
      </c>
      <c r="J49" s="27">
        <f>MAX(0,F49+H49-I49)</f>
        <v/>
      </c>
      <c r="K49" s="29">
        <f>IF(C49&gt;0,J49/C49,0)</f>
        <v/>
      </c>
      <c r="L49" s="30">
        <f>J49*D49</f>
        <v/>
      </c>
      <c r="M49" s="30">
        <f>G49*E49</f>
        <v/>
      </c>
      <c r="N49" s="30">
        <f>L49+M49</f>
        <v/>
      </c>
      <c r="O49" s="29">
        <f>IF(N49&gt;0,L49/N49,0)</f>
        <v/>
      </c>
      <c r="P49" s="31">
        <f>IF(K49&lt;0.20,5.0,IF(K49&lt;0.30,5.5,IF(K49&lt;0.40,6.5,7.5)))</f>
        <v/>
      </c>
      <c r="Q49" s="31">
        <f>IF(K49&lt;0.20,5.5,IF(K49&lt;0.30,6.0,IF(K49&lt;0.40,7.0,8.5)))</f>
        <v/>
      </c>
    </row>
    <row r="50">
      <c r="A50" s="20" t="n">
        <v>49</v>
      </c>
      <c r="B50" s="20">
        <f>INT((A50-1)/12)+1</f>
        <v/>
      </c>
      <c r="C50" s="21">
        <f>Inputs!$B$4*(1+Inputs!$B$5)^INT((A50-1)/12)</f>
        <v/>
      </c>
      <c r="D50" s="22">
        <f>Inputs!$B$11*(1+Inputs!$B$12)^INT((A50-1)/12)</f>
        <v/>
      </c>
      <c r="E50" s="22">
        <f>Inputs!$B$15*(1+Inputs!$B$16)^INT((A50-1)/12)</f>
        <v/>
      </c>
      <c r="F50" s="21">
        <f>J49</f>
        <v/>
      </c>
      <c r="G50" s="21">
        <f>MAX(0,C50-F50)</f>
        <v/>
      </c>
      <c r="H50" s="21">
        <f>G50*Inputs!$B$10</f>
        <v/>
      </c>
      <c r="I50" s="21">
        <f>F50*Inputs!$B$9</f>
        <v/>
      </c>
      <c r="J50" s="21">
        <f>MAX(0,F50+H50-I50)</f>
        <v/>
      </c>
      <c r="K50" s="23">
        <f>IF(C50&gt;0,J50/C50,0)</f>
        <v/>
      </c>
      <c r="L50" s="24">
        <f>J50*D50</f>
        <v/>
      </c>
      <c r="M50" s="24">
        <f>G50*E50</f>
        <v/>
      </c>
      <c r="N50" s="24">
        <f>L50+M50</f>
        <v/>
      </c>
      <c r="O50" s="23">
        <f>IF(N50&gt;0,L50/N50,0)</f>
        <v/>
      </c>
      <c r="P50" s="25">
        <f>IF(K50&lt;0.20,5.0,IF(K50&lt;0.30,5.5,IF(K50&lt;0.40,6.5,7.5)))</f>
        <v/>
      </c>
      <c r="Q50" s="25">
        <f>IF(K50&lt;0.20,5.5,IF(K50&lt;0.30,6.0,IF(K50&lt;0.40,7.0,8.5)))</f>
        <v/>
      </c>
    </row>
    <row r="51">
      <c r="A51" s="26" t="n">
        <v>50</v>
      </c>
      <c r="B51" s="26">
        <f>INT((A51-1)/12)+1</f>
        <v/>
      </c>
      <c r="C51" s="27">
        <f>Inputs!$B$4*(1+Inputs!$B$5)^INT((A51-1)/12)</f>
        <v/>
      </c>
      <c r="D51" s="28">
        <f>Inputs!$B$11*(1+Inputs!$B$12)^INT((A51-1)/12)</f>
        <v/>
      </c>
      <c r="E51" s="28">
        <f>Inputs!$B$15*(1+Inputs!$B$16)^INT((A51-1)/12)</f>
        <v/>
      </c>
      <c r="F51" s="27">
        <f>J50</f>
        <v/>
      </c>
      <c r="G51" s="27">
        <f>MAX(0,C51-F51)</f>
        <v/>
      </c>
      <c r="H51" s="27">
        <f>G51*Inputs!$B$10</f>
        <v/>
      </c>
      <c r="I51" s="27">
        <f>F51*Inputs!$B$9</f>
        <v/>
      </c>
      <c r="J51" s="27">
        <f>MAX(0,F51+H51-I51)</f>
        <v/>
      </c>
      <c r="K51" s="29">
        <f>IF(C51&gt;0,J51/C51,0)</f>
        <v/>
      </c>
      <c r="L51" s="30">
        <f>J51*D51</f>
        <v/>
      </c>
      <c r="M51" s="30">
        <f>G51*E51</f>
        <v/>
      </c>
      <c r="N51" s="30">
        <f>L51+M51</f>
        <v/>
      </c>
      <c r="O51" s="29">
        <f>IF(N51&gt;0,L51/N51,0)</f>
        <v/>
      </c>
      <c r="P51" s="31">
        <f>IF(K51&lt;0.20,5.0,IF(K51&lt;0.30,5.5,IF(K51&lt;0.40,6.5,7.5)))</f>
        <v/>
      </c>
      <c r="Q51" s="31">
        <f>IF(K51&lt;0.20,5.5,IF(K51&lt;0.30,6.0,IF(K51&lt;0.40,7.0,8.5)))</f>
        <v/>
      </c>
    </row>
    <row r="52">
      <c r="A52" s="20" t="n">
        <v>51</v>
      </c>
      <c r="B52" s="20">
        <f>INT((A52-1)/12)+1</f>
        <v/>
      </c>
      <c r="C52" s="21">
        <f>Inputs!$B$4*(1+Inputs!$B$5)^INT((A52-1)/12)</f>
        <v/>
      </c>
      <c r="D52" s="22">
        <f>Inputs!$B$11*(1+Inputs!$B$12)^INT((A52-1)/12)</f>
        <v/>
      </c>
      <c r="E52" s="22">
        <f>Inputs!$B$15*(1+Inputs!$B$16)^INT((A52-1)/12)</f>
        <v/>
      </c>
      <c r="F52" s="21">
        <f>J51</f>
        <v/>
      </c>
      <c r="G52" s="21">
        <f>MAX(0,C52-F52)</f>
        <v/>
      </c>
      <c r="H52" s="21">
        <f>G52*Inputs!$B$10</f>
        <v/>
      </c>
      <c r="I52" s="21">
        <f>F52*Inputs!$B$9</f>
        <v/>
      </c>
      <c r="J52" s="21">
        <f>MAX(0,F52+H52-I52)</f>
        <v/>
      </c>
      <c r="K52" s="23">
        <f>IF(C52&gt;0,J52/C52,0)</f>
        <v/>
      </c>
      <c r="L52" s="24">
        <f>J52*D52</f>
        <v/>
      </c>
      <c r="M52" s="24">
        <f>G52*E52</f>
        <v/>
      </c>
      <c r="N52" s="24">
        <f>L52+M52</f>
        <v/>
      </c>
      <c r="O52" s="23">
        <f>IF(N52&gt;0,L52/N52,0)</f>
        <v/>
      </c>
      <c r="P52" s="25">
        <f>IF(K52&lt;0.20,5.0,IF(K52&lt;0.30,5.5,IF(K52&lt;0.40,6.5,7.5)))</f>
        <v/>
      </c>
      <c r="Q52" s="25">
        <f>IF(K52&lt;0.20,5.5,IF(K52&lt;0.30,6.0,IF(K52&lt;0.40,7.0,8.5)))</f>
        <v/>
      </c>
    </row>
    <row r="53">
      <c r="A53" s="26" t="n">
        <v>52</v>
      </c>
      <c r="B53" s="26">
        <f>INT((A53-1)/12)+1</f>
        <v/>
      </c>
      <c r="C53" s="27">
        <f>Inputs!$B$4*(1+Inputs!$B$5)^INT((A53-1)/12)</f>
        <v/>
      </c>
      <c r="D53" s="28">
        <f>Inputs!$B$11*(1+Inputs!$B$12)^INT((A53-1)/12)</f>
        <v/>
      </c>
      <c r="E53" s="28">
        <f>Inputs!$B$15*(1+Inputs!$B$16)^INT((A53-1)/12)</f>
        <v/>
      </c>
      <c r="F53" s="27">
        <f>J52</f>
        <v/>
      </c>
      <c r="G53" s="27">
        <f>MAX(0,C53-F53)</f>
        <v/>
      </c>
      <c r="H53" s="27">
        <f>G53*Inputs!$B$10</f>
        <v/>
      </c>
      <c r="I53" s="27">
        <f>F53*Inputs!$B$9</f>
        <v/>
      </c>
      <c r="J53" s="27">
        <f>MAX(0,F53+H53-I53)</f>
        <v/>
      </c>
      <c r="K53" s="29">
        <f>IF(C53&gt;0,J53/C53,0)</f>
        <v/>
      </c>
      <c r="L53" s="30">
        <f>J53*D53</f>
        <v/>
      </c>
      <c r="M53" s="30">
        <f>G53*E53</f>
        <v/>
      </c>
      <c r="N53" s="30">
        <f>L53+M53</f>
        <v/>
      </c>
      <c r="O53" s="29">
        <f>IF(N53&gt;0,L53/N53,0)</f>
        <v/>
      </c>
      <c r="P53" s="31">
        <f>IF(K53&lt;0.20,5.0,IF(K53&lt;0.30,5.5,IF(K53&lt;0.40,6.5,7.5)))</f>
        <v/>
      </c>
      <c r="Q53" s="31">
        <f>IF(K53&lt;0.20,5.5,IF(K53&lt;0.30,6.0,IF(K53&lt;0.40,7.0,8.5)))</f>
        <v/>
      </c>
    </row>
    <row r="54">
      <c r="A54" s="20" t="n">
        <v>53</v>
      </c>
      <c r="B54" s="20">
        <f>INT((A54-1)/12)+1</f>
        <v/>
      </c>
      <c r="C54" s="21">
        <f>Inputs!$B$4*(1+Inputs!$B$5)^INT((A54-1)/12)</f>
        <v/>
      </c>
      <c r="D54" s="22">
        <f>Inputs!$B$11*(1+Inputs!$B$12)^INT((A54-1)/12)</f>
        <v/>
      </c>
      <c r="E54" s="22">
        <f>Inputs!$B$15*(1+Inputs!$B$16)^INT((A54-1)/12)</f>
        <v/>
      </c>
      <c r="F54" s="21">
        <f>J53</f>
        <v/>
      </c>
      <c r="G54" s="21">
        <f>MAX(0,C54-F54)</f>
        <v/>
      </c>
      <c r="H54" s="21">
        <f>G54*Inputs!$B$10</f>
        <v/>
      </c>
      <c r="I54" s="21">
        <f>F54*Inputs!$B$9</f>
        <v/>
      </c>
      <c r="J54" s="21">
        <f>MAX(0,F54+H54-I54)</f>
        <v/>
      </c>
      <c r="K54" s="23">
        <f>IF(C54&gt;0,J54/C54,0)</f>
        <v/>
      </c>
      <c r="L54" s="24">
        <f>J54*D54</f>
        <v/>
      </c>
      <c r="M54" s="24">
        <f>G54*E54</f>
        <v/>
      </c>
      <c r="N54" s="24">
        <f>L54+M54</f>
        <v/>
      </c>
      <c r="O54" s="23">
        <f>IF(N54&gt;0,L54/N54,0)</f>
        <v/>
      </c>
      <c r="P54" s="25">
        <f>IF(K54&lt;0.20,5.0,IF(K54&lt;0.30,5.5,IF(K54&lt;0.40,6.5,7.5)))</f>
        <v/>
      </c>
      <c r="Q54" s="25">
        <f>IF(K54&lt;0.20,5.5,IF(K54&lt;0.30,6.0,IF(K54&lt;0.40,7.0,8.5)))</f>
        <v/>
      </c>
    </row>
    <row r="55">
      <c r="A55" s="26" t="n">
        <v>54</v>
      </c>
      <c r="B55" s="26">
        <f>INT((A55-1)/12)+1</f>
        <v/>
      </c>
      <c r="C55" s="27">
        <f>Inputs!$B$4*(1+Inputs!$B$5)^INT((A55-1)/12)</f>
        <v/>
      </c>
      <c r="D55" s="28">
        <f>Inputs!$B$11*(1+Inputs!$B$12)^INT((A55-1)/12)</f>
        <v/>
      </c>
      <c r="E55" s="28">
        <f>Inputs!$B$15*(1+Inputs!$B$16)^INT((A55-1)/12)</f>
        <v/>
      </c>
      <c r="F55" s="27">
        <f>J54</f>
        <v/>
      </c>
      <c r="G55" s="27">
        <f>MAX(0,C55-F55)</f>
        <v/>
      </c>
      <c r="H55" s="27">
        <f>G55*Inputs!$B$10</f>
        <v/>
      </c>
      <c r="I55" s="27">
        <f>F55*Inputs!$B$9</f>
        <v/>
      </c>
      <c r="J55" s="27">
        <f>MAX(0,F55+H55-I55)</f>
        <v/>
      </c>
      <c r="K55" s="29">
        <f>IF(C55&gt;0,J55/C55,0)</f>
        <v/>
      </c>
      <c r="L55" s="30">
        <f>J55*D55</f>
        <v/>
      </c>
      <c r="M55" s="30">
        <f>G55*E55</f>
        <v/>
      </c>
      <c r="N55" s="30">
        <f>L55+M55</f>
        <v/>
      </c>
      <c r="O55" s="29">
        <f>IF(N55&gt;0,L55/N55,0)</f>
        <v/>
      </c>
      <c r="P55" s="31">
        <f>IF(K55&lt;0.20,5.0,IF(K55&lt;0.30,5.5,IF(K55&lt;0.40,6.5,7.5)))</f>
        <v/>
      </c>
      <c r="Q55" s="31">
        <f>IF(K55&lt;0.20,5.5,IF(K55&lt;0.30,6.0,IF(K55&lt;0.40,7.0,8.5)))</f>
        <v/>
      </c>
    </row>
    <row r="56">
      <c r="A56" s="20" t="n">
        <v>55</v>
      </c>
      <c r="B56" s="20">
        <f>INT((A56-1)/12)+1</f>
        <v/>
      </c>
      <c r="C56" s="21">
        <f>Inputs!$B$4*(1+Inputs!$B$5)^INT((A56-1)/12)</f>
        <v/>
      </c>
      <c r="D56" s="22">
        <f>Inputs!$B$11*(1+Inputs!$B$12)^INT((A56-1)/12)</f>
        <v/>
      </c>
      <c r="E56" s="22">
        <f>Inputs!$B$15*(1+Inputs!$B$16)^INT((A56-1)/12)</f>
        <v/>
      </c>
      <c r="F56" s="21">
        <f>J55</f>
        <v/>
      </c>
      <c r="G56" s="21">
        <f>MAX(0,C56-F56)</f>
        <v/>
      </c>
      <c r="H56" s="21">
        <f>G56*Inputs!$B$10</f>
        <v/>
      </c>
      <c r="I56" s="21">
        <f>F56*Inputs!$B$9</f>
        <v/>
      </c>
      <c r="J56" s="21">
        <f>MAX(0,F56+H56-I56)</f>
        <v/>
      </c>
      <c r="K56" s="23">
        <f>IF(C56&gt;0,J56/C56,0)</f>
        <v/>
      </c>
      <c r="L56" s="24">
        <f>J56*D56</f>
        <v/>
      </c>
      <c r="M56" s="24">
        <f>G56*E56</f>
        <v/>
      </c>
      <c r="N56" s="24">
        <f>L56+M56</f>
        <v/>
      </c>
      <c r="O56" s="23">
        <f>IF(N56&gt;0,L56/N56,0)</f>
        <v/>
      </c>
      <c r="P56" s="25">
        <f>IF(K56&lt;0.20,5.0,IF(K56&lt;0.30,5.5,IF(K56&lt;0.40,6.5,7.5)))</f>
        <v/>
      </c>
      <c r="Q56" s="25">
        <f>IF(K56&lt;0.20,5.5,IF(K56&lt;0.30,6.0,IF(K56&lt;0.40,7.0,8.5)))</f>
        <v/>
      </c>
    </row>
    <row r="57">
      <c r="A57" s="26" t="n">
        <v>56</v>
      </c>
      <c r="B57" s="26">
        <f>INT((A57-1)/12)+1</f>
        <v/>
      </c>
      <c r="C57" s="27">
        <f>Inputs!$B$4*(1+Inputs!$B$5)^INT((A57-1)/12)</f>
        <v/>
      </c>
      <c r="D57" s="28">
        <f>Inputs!$B$11*(1+Inputs!$B$12)^INT((A57-1)/12)</f>
        <v/>
      </c>
      <c r="E57" s="28">
        <f>Inputs!$B$15*(1+Inputs!$B$16)^INT((A57-1)/12)</f>
        <v/>
      </c>
      <c r="F57" s="27">
        <f>J56</f>
        <v/>
      </c>
      <c r="G57" s="27">
        <f>MAX(0,C57-F57)</f>
        <v/>
      </c>
      <c r="H57" s="27">
        <f>G57*Inputs!$B$10</f>
        <v/>
      </c>
      <c r="I57" s="27">
        <f>F57*Inputs!$B$9</f>
        <v/>
      </c>
      <c r="J57" s="27">
        <f>MAX(0,F57+H57-I57)</f>
        <v/>
      </c>
      <c r="K57" s="29">
        <f>IF(C57&gt;0,J57/C57,0)</f>
        <v/>
      </c>
      <c r="L57" s="30">
        <f>J57*D57</f>
        <v/>
      </c>
      <c r="M57" s="30">
        <f>G57*E57</f>
        <v/>
      </c>
      <c r="N57" s="30">
        <f>L57+M57</f>
        <v/>
      </c>
      <c r="O57" s="29">
        <f>IF(N57&gt;0,L57/N57,0)</f>
        <v/>
      </c>
      <c r="P57" s="31">
        <f>IF(K57&lt;0.20,5.0,IF(K57&lt;0.30,5.5,IF(K57&lt;0.40,6.5,7.5)))</f>
        <v/>
      </c>
      <c r="Q57" s="31">
        <f>IF(K57&lt;0.20,5.5,IF(K57&lt;0.30,6.0,IF(K57&lt;0.40,7.0,8.5)))</f>
        <v/>
      </c>
    </row>
    <row r="58">
      <c r="A58" s="20" t="n">
        <v>57</v>
      </c>
      <c r="B58" s="20">
        <f>INT((A58-1)/12)+1</f>
        <v/>
      </c>
      <c r="C58" s="21">
        <f>Inputs!$B$4*(1+Inputs!$B$5)^INT((A58-1)/12)</f>
        <v/>
      </c>
      <c r="D58" s="22">
        <f>Inputs!$B$11*(1+Inputs!$B$12)^INT((A58-1)/12)</f>
        <v/>
      </c>
      <c r="E58" s="22">
        <f>Inputs!$B$15*(1+Inputs!$B$16)^INT((A58-1)/12)</f>
        <v/>
      </c>
      <c r="F58" s="21">
        <f>J57</f>
        <v/>
      </c>
      <c r="G58" s="21">
        <f>MAX(0,C58-F58)</f>
        <v/>
      </c>
      <c r="H58" s="21">
        <f>G58*Inputs!$B$10</f>
        <v/>
      </c>
      <c r="I58" s="21">
        <f>F58*Inputs!$B$9</f>
        <v/>
      </c>
      <c r="J58" s="21">
        <f>MAX(0,F58+H58-I58)</f>
        <v/>
      </c>
      <c r="K58" s="23">
        <f>IF(C58&gt;0,J58/C58,0)</f>
        <v/>
      </c>
      <c r="L58" s="24">
        <f>J58*D58</f>
        <v/>
      </c>
      <c r="M58" s="24">
        <f>G58*E58</f>
        <v/>
      </c>
      <c r="N58" s="24">
        <f>L58+M58</f>
        <v/>
      </c>
      <c r="O58" s="23">
        <f>IF(N58&gt;0,L58/N58,0)</f>
        <v/>
      </c>
      <c r="P58" s="25">
        <f>IF(K58&lt;0.20,5.0,IF(K58&lt;0.30,5.5,IF(K58&lt;0.40,6.5,7.5)))</f>
        <v/>
      </c>
      <c r="Q58" s="25">
        <f>IF(K58&lt;0.20,5.5,IF(K58&lt;0.30,6.0,IF(K58&lt;0.40,7.0,8.5)))</f>
        <v/>
      </c>
    </row>
    <row r="59">
      <c r="A59" s="26" t="n">
        <v>58</v>
      </c>
      <c r="B59" s="26">
        <f>INT((A59-1)/12)+1</f>
        <v/>
      </c>
      <c r="C59" s="27">
        <f>Inputs!$B$4*(1+Inputs!$B$5)^INT((A59-1)/12)</f>
        <v/>
      </c>
      <c r="D59" s="28">
        <f>Inputs!$B$11*(1+Inputs!$B$12)^INT((A59-1)/12)</f>
        <v/>
      </c>
      <c r="E59" s="28">
        <f>Inputs!$B$15*(1+Inputs!$B$16)^INT((A59-1)/12)</f>
        <v/>
      </c>
      <c r="F59" s="27">
        <f>J58</f>
        <v/>
      </c>
      <c r="G59" s="27">
        <f>MAX(0,C59-F59)</f>
        <v/>
      </c>
      <c r="H59" s="27">
        <f>G59*Inputs!$B$10</f>
        <v/>
      </c>
      <c r="I59" s="27">
        <f>F59*Inputs!$B$9</f>
        <v/>
      </c>
      <c r="J59" s="27">
        <f>MAX(0,F59+H59-I59)</f>
        <v/>
      </c>
      <c r="K59" s="29">
        <f>IF(C59&gt;0,J59/C59,0)</f>
        <v/>
      </c>
      <c r="L59" s="30">
        <f>J59*D59</f>
        <v/>
      </c>
      <c r="M59" s="30">
        <f>G59*E59</f>
        <v/>
      </c>
      <c r="N59" s="30">
        <f>L59+M59</f>
        <v/>
      </c>
      <c r="O59" s="29">
        <f>IF(N59&gt;0,L59/N59,0)</f>
        <v/>
      </c>
      <c r="P59" s="31">
        <f>IF(K59&lt;0.20,5.0,IF(K59&lt;0.30,5.5,IF(K59&lt;0.40,6.5,7.5)))</f>
        <v/>
      </c>
      <c r="Q59" s="31">
        <f>IF(K59&lt;0.20,5.5,IF(K59&lt;0.30,6.0,IF(K59&lt;0.40,7.0,8.5)))</f>
        <v/>
      </c>
    </row>
    <row r="60">
      <c r="A60" s="20" t="n">
        <v>59</v>
      </c>
      <c r="B60" s="20">
        <f>INT((A60-1)/12)+1</f>
        <v/>
      </c>
      <c r="C60" s="21">
        <f>Inputs!$B$4*(1+Inputs!$B$5)^INT((A60-1)/12)</f>
        <v/>
      </c>
      <c r="D60" s="22">
        <f>Inputs!$B$11*(1+Inputs!$B$12)^INT((A60-1)/12)</f>
        <v/>
      </c>
      <c r="E60" s="22">
        <f>Inputs!$B$15*(1+Inputs!$B$16)^INT((A60-1)/12)</f>
        <v/>
      </c>
      <c r="F60" s="21">
        <f>J59</f>
        <v/>
      </c>
      <c r="G60" s="21">
        <f>MAX(0,C60-F60)</f>
        <v/>
      </c>
      <c r="H60" s="21">
        <f>G60*Inputs!$B$10</f>
        <v/>
      </c>
      <c r="I60" s="21">
        <f>F60*Inputs!$B$9</f>
        <v/>
      </c>
      <c r="J60" s="21">
        <f>MAX(0,F60+H60-I60)</f>
        <v/>
      </c>
      <c r="K60" s="23">
        <f>IF(C60&gt;0,J60/C60,0)</f>
        <v/>
      </c>
      <c r="L60" s="24">
        <f>J60*D60</f>
        <v/>
      </c>
      <c r="M60" s="24">
        <f>G60*E60</f>
        <v/>
      </c>
      <c r="N60" s="24">
        <f>L60+M60</f>
        <v/>
      </c>
      <c r="O60" s="23">
        <f>IF(N60&gt;0,L60/N60,0)</f>
        <v/>
      </c>
      <c r="P60" s="25">
        <f>IF(K60&lt;0.20,5.0,IF(K60&lt;0.30,5.5,IF(K60&lt;0.40,6.5,7.5)))</f>
        <v/>
      </c>
      <c r="Q60" s="25">
        <f>IF(K60&lt;0.20,5.5,IF(K60&lt;0.30,6.0,IF(K60&lt;0.40,7.0,8.5)))</f>
        <v/>
      </c>
    </row>
    <row r="61">
      <c r="A61" s="26" t="n">
        <v>60</v>
      </c>
      <c r="B61" s="26">
        <f>INT((A61-1)/12)+1</f>
        <v/>
      </c>
      <c r="C61" s="27">
        <f>Inputs!$B$4*(1+Inputs!$B$5)^INT((A61-1)/12)</f>
        <v/>
      </c>
      <c r="D61" s="28">
        <f>Inputs!$B$11*(1+Inputs!$B$12)^INT((A61-1)/12)</f>
        <v/>
      </c>
      <c r="E61" s="28">
        <f>Inputs!$B$15*(1+Inputs!$B$16)^INT((A61-1)/12)</f>
        <v/>
      </c>
      <c r="F61" s="27">
        <f>J60</f>
        <v/>
      </c>
      <c r="G61" s="27">
        <f>MAX(0,C61-F61)</f>
        <v/>
      </c>
      <c r="H61" s="27">
        <f>G61*Inputs!$B$10</f>
        <v/>
      </c>
      <c r="I61" s="27">
        <f>F61*Inputs!$B$9</f>
        <v/>
      </c>
      <c r="J61" s="27">
        <f>MAX(0,F61+H61-I61)</f>
        <v/>
      </c>
      <c r="K61" s="29">
        <f>IF(C61&gt;0,J61/C61,0)</f>
        <v/>
      </c>
      <c r="L61" s="30">
        <f>J61*D61</f>
        <v/>
      </c>
      <c r="M61" s="30">
        <f>G61*E61</f>
        <v/>
      </c>
      <c r="N61" s="30">
        <f>L61+M61</f>
        <v/>
      </c>
      <c r="O61" s="29">
        <f>IF(N61&gt;0,L61/N61,0)</f>
        <v/>
      </c>
      <c r="P61" s="31">
        <f>IF(K61&lt;0.20,5.0,IF(K61&lt;0.30,5.5,IF(K61&lt;0.40,6.5,7.5)))</f>
        <v/>
      </c>
      <c r="Q61" s="31">
        <f>IF(K61&lt;0.20,5.5,IF(K61&lt;0.30,6.0,IF(K61&lt;0.40,7.0,8.5)))</f>
        <v/>
      </c>
    </row>
    <row r="62">
      <c r="A62" s="20" t="n">
        <v>61</v>
      </c>
      <c r="B62" s="20">
        <f>INT((A62-1)/12)+1</f>
        <v/>
      </c>
      <c r="C62" s="21">
        <f>Inputs!$B$4*(1+Inputs!$B$5)^INT((A62-1)/12)</f>
        <v/>
      </c>
      <c r="D62" s="22">
        <f>Inputs!$B$11*(1+Inputs!$B$12)^INT((A62-1)/12)</f>
        <v/>
      </c>
      <c r="E62" s="22">
        <f>Inputs!$B$15*(1+Inputs!$B$16)^INT((A62-1)/12)</f>
        <v/>
      </c>
      <c r="F62" s="21">
        <f>J61</f>
        <v/>
      </c>
      <c r="G62" s="21">
        <f>MAX(0,C62-F62)</f>
        <v/>
      </c>
      <c r="H62" s="21">
        <f>G62*Inputs!$B$10</f>
        <v/>
      </c>
      <c r="I62" s="21">
        <f>F62*Inputs!$B$9</f>
        <v/>
      </c>
      <c r="J62" s="21">
        <f>MAX(0,F62+H62-I62)</f>
        <v/>
      </c>
      <c r="K62" s="23">
        <f>IF(C62&gt;0,J62/C62,0)</f>
        <v/>
      </c>
      <c r="L62" s="24">
        <f>J62*D62</f>
        <v/>
      </c>
      <c r="M62" s="24">
        <f>G62*E62</f>
        <v/>
      </c>
      <c r="N62" s="24">
        <f>L62+M62</f>
        <v/>
      </c>
      <c r="O62" s="23">
        <f>IF(N62&gt;0,L62/N62,0)</f>
        <v/>
      </c>
      <c r="P62" s="25">
        <f>IF(K62&lt;0.20,5.0,IF(K62&lt;0.30,5.5,IF(K62&lt;0.40,6.5,7.5)))</f>
        <v/>
      </c>
      <c r="Q62" s="25">
        <f>IF(K62&lt;0.20,5.5,IF(K62&lt;0.30,6.0,IF(K62&lt;0.40,7.0,8.5)))</f>
        <v/>
      </c>
    </row>
    <row r="63">
      <c r="A63" s="26" t="n">
        <v>62</v>
      </c>
      <c r="B63" s="26">
        <f>INT((A63-1)/12)+1</f>
        <v/>
      </c>
      <c r="C63" s="27">
        <f>Inputs!$B$4*(1+Inputs!$B$5)^INT((A63-1)/12)</f>
        <v/>
      </c>
      <c r="D63" s="28">
        <f>Inputs!$B$11*(1+Inputs!$B$12)^INT((A63-1)/12)</f>
        <v/>
      </c>
      <c r="E63" s="28">
        <f>Inputs!$B$15*(1+Inputs!$B$16)^INT((A63-1)/12)</f>
        <v/>
      </c>
      <c r="F63" s="27">
        <f>J62</f>
        <v/>
      </c>
      <c r="G63" s="27">
        <f>MAX(0,C63-F63)</f>
        <v/>
      </c>
      <c r="H63" s="27">
        <f>G63*Inputs!$B$10</f>
        <v/>
      </c>
      <c r="I63" s="27">
        <f>F63*Inputs!$B$9</f>
        <v/>
      </c>
      <c r="J63" s="27">
        <f>MAX(0,F63+H63-I63)</f>
        <v/>
      </c>
      <c r="K63" s="29">
        <f>IF(C63&gt;0,J63/C63,0)</f>
        <v/>
      </c>
      <c r="L63" s="30">
        <f>J63*D63</f>
        <v/>
      </c>
      <c r="M63" s="30">
        <f>G63*E63</f>
        <v/>
      </c>
      <c r="N63" s="30">
        <f>L63+M63</f>
        <v/>
      </c>
      <c r="O63" s="29">
        <f>IF(N63&gt;0,L63/N63,0)</f>
        <v/>
      </c>
      <c r="P63" s="31">
        <f>IF(K63&lt;0.20,5.0,IF(K63&lt;0.30,5.5,IF(K63&lt;0.40,6.5,7.5)))</f>
        <v/>
      </c>
      <c r="Q63" s="31">
        <f>IF(K63&lt;0.20,5.5,IF(K63&lt;0.30,6.0,IF(K63&lt;0.40,7.0,8.5)))</f>
        <v/>
      </c>
    </row>
    <row r="64">
      <c r="A64" s="20" t="n">
        <v>63</v>
      </c>
      <c r="B64" s="20">
        <f>INT((A64-1)/12)+1</f>
        <v/>
      </c>
      <c r="C64" s="21">
        <f>Inputs!$B$4*(1+Inputs!$B$5)^INT((A64-1)/12)</f>
        <v/>
      </c>
      <c r="D64" s="22">
        <f>Inputs!$B$11*(1+Inputs!$B$12)^INT((A64-1)/12)</f>
        <v/>
      </c>
      <c r="E64" s="22">
        <f>Inputs!$B$15*(1+Inputs!$B$16)^INT((A64-1)/12)</f>
        <v/>
      </c>
      <c r="F64" s="21">
        <f>J63</f>
        <v/>
      </c>
      <c r="G64" s="21">
        <f>MAX(0,C64-F64)</f>
        <v/>
      </c>
      <c r="H64" s="21">
        <f>G64*Inputs!$B$10</f>
        <v/>
      </c>
      <c r="I64" s="21">
        <f>F64*Inputs!$B$9</f>
        <v/>
      </c>
      <c r="J64" s="21">
        <f>MAX(0,F64+H64-I64)</f>
        <v/>
      </c>
      <c r="K64" s="23">
        <f>IF(C64&gt;0,J64/C64,0)</f>
        <v/>
      </c>
      <c r="L64" s="24">
        <f>J64*D64</f>
        <v/>
      </c>
      <c r="M64" s="24">
        <f>G64*E64</f>
        <v/>
      </c>
      <c r="N64" s="24">
        <f>L64+M64</f>
        <v/>
      </c>
      <c r="O64" s="23">
        <f>IF(N64&gt;0,L64/N64,0)</f>
        <v/>
      </c>
      <c r="P64" s="25">
        <f>IF(K64&lt;0.20,5.0,IF(K64&lt;0.30,5.5,IF(K64&lt;0.40,6.5,7.5)))</f>
        <v/>
      </c>
      <c r="Q64" s="25">
        <f>IF(K64&lt;0.20,5.5,IF(K64&lt;0.30,6.0,IF(K64&lt;0.40,7.0,8.5)))</f>
        <v/>
      </c>
    </row>
    <row r="65">
      <c r="A65" s="26" t="n">
        <v>64</v>
      </c>
      <c r="B65" s="26">
        <f>INT((A65-1)/12)+1</f>
        <v/>
      </c>
      <c r="C65" s="27">
        <f>Inputs!$B$4*(1+Inputs!$B$5)^INT((A65-1)/12)</f>
        <v/>
      </c>
      <c r="D65" s="28">
        <f>Inputs!$B$11*(1+Inputs!$B$12)^INT((A65-1)/12)</f>
        <v/>
      </c>
      <c r="E65" s="28">
        <f>Inputs!$B$15*(1+Inputs!$B$16)^INT((A65-1)/12)</f>
        <v/>
      </c>
      <c r="F65" s="27">
        <f>J64</f>
        <v/>
      </c>
      <c r="G65" s="27">
        <f>MAX(0,C65-F65)</f>
        <v/>
      </c>
      <c r="H65" s="27">
        <f>G65*Inputs!$B$10</f>
        <v/>
      </c>
      <c r="I65" s="27">
        <f>F65*Inputs!$B$9</f>
        <v/>
      </c>
      <c r="J65" s="27">
        <f>MAX(0,F65+H65-I65)</f>
        <v/>
      </c>
      <c r="K65" s="29">
        <f>IF(C65&gt;0,J65/C65,0)</f>
        <v/>
      </c>
      <c r="L65" s="30">
        <f>J65*D65</f>
        <v/>
      </c>
      <c r="M65" s="30">
        <f>G65*E65</f>
        <v/>
      </c>
      <c r="N65" s="30">
        <f>L65+M65</f>
        <v/>
      </c>
      <c r="O65" s="29">
        <f>IF(N65&gt;0,L65/N65,0)</f>
        <v/>
      </c>
      <c r="P65" s="31">
        <f>IF(K65&lt;0.20,5.0,IF(K65&lt;0.30,5.5,IF(K65&lt;0.40,6.5,7.5)))</f>
        <v/>
      </c>
      <c r="Q65" s="31">
        <f>IF(K65&lt;0.20,5.5,IF(K65&lt;0.30,6.0,IF(K65&lt;0.40,7.0,8.5)))</f>
        <v/>
      </c>
    </row>
    <row r="66">
      <c r="A66" s="20" t="n">
        <v>65</v>
      </c>
      <c r="B66" s="20">
        <f>INT((A66-1)/12)+1</f>
        <v/>
      </c>
      <c r="C66" s="21">
        <f>Inputs!$B$4*(1+Inputs!$B$5)^INT((A66-1)/12)</f>
        <v/>
      </c>
      <c r="D66" s="22">
        <f>Inputs!$B$11*(1+Inputs!$B$12)^INT((A66-1)/12)</f>
        <v/>
      </c>
      <c r="E66" s="22">
        <f>Inputs!$B$15*(1+Inputs!$B$16)^INT((A66-1)/12)</f>
        <v/>
      </c>
      <c r="F66" s="21">
        <f>J65</f>
        <v/>
      </c>
      <c r="G66" s="21">
        <f>MAX(0,C66-F66)</f>
        <v/>
      </c>
      <c r="H66" s="21">
        <f>G66*Inputs!$B$10</f>
        <v/>
      </c>
      <c r="I66" s="21">
        <f>F66*Inputs!$B$9</f>
        <v/>
      </c>
      <c r="J66" s="21">
        <f>MAX(0,F66+H66-I66)</f>
        <v/>
      </c>
      <c r="K66" s="23">
        <f>IF(C66&gt;0,J66/C66,0)</f>
        <v/>
      </c>
      <c r="L66" s="24">
        <f>J66*D66</f>
        <v/>
      </c>
      <c r="M66" s="24">
        <f>G66*E66</f>
        <v/>
      </c>
      <c r="N66" s="24">
        <f>L66+M66</f>
        <v/>
      </c>
      <c r="O66" s="23">
        <f>IF(N66&gt;0,L66/N66,0)</f>
        <v/>
      </c>
      <c r="P66" s="25">
        <f>IF(K66&lt;0.20,5.0,IF(K66&lt;0.30,5.5,IF(K66&lt;0.40,6.5,7.5)))</f>
        <v/>
      </c>
      <c r="Q66" s="25">
        <f>IF(K66&lt;0.20,5.5,IF(K66&lt;0.30,6.0,IF(K66&lt;0.40,7.0,8.5)))</f>
        <v/>
      </c>
    </row>
    <row r="67">
      <c r="A67" s="26" t="n">
        <v>66</v>
      </c>
      <c r="B67" s="26">
        <f>INT((A67-1)/12)+1</f>
        <v/>
      </c>
      <c r="C67" s="27">
        <f>Inputs!$B$4*(1+Inputs!$B$5)^INT((A67-1)/12)</f>
        <v/>
      </c>
      <c r="D67" s="28">
        <f>Inputs!$B$11*(1+Inputs!$B$12)^INT((A67-1)/12)</f>
        <v/>
      </c>
      <c r="E67" s="28">
        <f>Inputs!$B$15*(1+Inputs!$B$16)^INT((A67-1)/12)</f>
        <v/>
      </c>
      <c r="F67" s="27">
        <f>J66</f>
        <v/>
      </c>
      <c r="G67" s="27">
        <f>MAX(0,C67-F67)</f>
        <v/>
      </c>
      <c r="H67" s="27">
        <f>G67*Inputs!$B$10</f>
        <v/>
      </c>
      <c r="I67" s="27">
        <f>F67*Inputs!$B$9</f>
        <v/>
      </c>
      <c r="J67" s="27">
        <f>MAX(0,F67+H67-I67)</f>
        <v/>
      </c>
      <c r="K67" s="29">
        <f>IF(C67&gt;0,J67/C67,0)</f>
        <v/>
      </c>
      <c r="L67" s="30">
        <f>J67*D67</f>
        <v/>
      </c>
      <c r="M67" s="30">
        <f>G67*E67</f>
        <v/>
      </c>
      <c r="N67" s="30">
        <f>L67+M67</f>
        <v/>
      </c>
      <c r="O67" s="29">
        <f>IF(N67&gt;0,L67/N67,0)</f>
        <v/>
      </c>
      <c r="P67" s="31">
        <f>IF(K67&lt;0.20,5.0,IF(K67&lt;0.30,5.5,IF(K67&lt;0.40,6.5,7.5)))</f>
        <v/>
      </c>
      <c r="Q67" s="31">
        <f>IF(K67&lt;0.20,5.5,IF(K67&lt;0.30,6.0,IF(K67&lt;0.40,7.0,8.5)))</f>
        <v/>
      </c>
    </row>
    <row r="68">
      <c r="A68" s="20" t="n">
        <v>67</v>
      </c>
      <c r="B68" s="20">
        <f>INT((A68-1)/12)+1</f>
        <v/>
      </c>
      <c r="C68" s="21">
        <f>Inputs!$B$4*(1+Inputs!$B$5)^INT((A68-1)/12)</f>
        <v/>
      </c>
      <c r="D68" s="22">
        <f>Inputs!$B$11*(1+Inputs!$B$12)^INT((A68-1)/12)</f>
        <v/>
      </c>
      <c r="E68" s="22">
        <f>Inputs!$B$15*(1+Inputs!$B$16)^INT((A68-1)/12)</f>
        <v/>
      </c>
      <c r="F68" s="21">
        <f>J67</f>
        <v/>
      </c>
      <c r="G68" s="21">
        <f>MAX(0,C68-F68)</f>
        <v/>
      </c>
      <c r="H68" s="21">
        <f>G68*Inputs!$B$10</f>
        <v/>
      </c>
      <c r="I68" s="21">
        <f>F68*Inputs!$B$9</f>
        <v/>
      </c>
      <c r="J68" s="21">
        <f>MAX(0,F68+H68-I68)</f>
        <v/>
      </c>
      <c r="K68" s="23">
        <f>IF(C68&gt;0,J68/C68,0)</f>
        <v/>
      </c>
      <c r="L68" s="24">
        <f>J68*D68</f>
        <v/>
      </c>
      <c r="M68" s="24">
        <f>G68*E68</f>
        <v/>
      </c>
      <c r="N68" s="24">
        <f>L68+M68</f>
        <v/>
      </c>
      <c r="O68" s="23">
        <f>IF(N68&gt;0,L68/N68,0)</f>
        <v/>
      </c>
      <c r="P68" s="25">
        <f>IF(K68&lt;0.20,5.0,IF(K68&lt;0.30,5.5,IF(K68&lt;0.40,6.5,7.5)))</f>
        <v/>
      </c>
      <c r="Q68" s="25">
        <f>IF(K68&lt;0.20,5.5,IF(K68&lt;0.30,6.0,IF(K68&lt;0.40,7.0,8.5)))</f>
        <v/>
      </c>
    </row>
    <row r="69">
      <c r="A69" s="26" t="n">
        <v>68</v>
      </c>
      <c r="B69" s="26">
        <f>INT((A69-1)/12)+1</f>
        <v/>
      </c>
      <c r="C69" s="27">
        <f>Inputs!$B$4*(1+Inputs!$B$5)^INT((A69-1)/12)</f>
        <v/>
      </c>
      <c r="D69" s="28">
        <f>Inputs!$B$11*(1+Inputs!$B$12)^INT((A69-1)/12)</f>
        <v/>
      </c>
      <c r="E69" s="28">
        <f>Inputs!$B$15*(1+Inputs!$B$16)^INT((A69-1)/12)</f>
        <v/>
      </c>
      <c r="F69" s="27">
        <f>J68</f>
        <v/>
      </c>
      <c r="G69" s="27">
        <f>MAX(0,C69-F69)</f>
        <v/>
      </c>
      <c r="H69" s="27">
        <f>G69*Inputs!$B$10</f>
        <v/>
      </c>
      <c r="I69" s="27">
        <f>F69*Inputs!$B$9</f>
        <v/>
      </c>
      <c r="J69" s="27">
        <f>MAX(0,F69+H69-I69)</f>
        <v/>
      </c>
      <c r="K69" s="29">
        <f>IF(C69&gt;0,J69/C69,0)</f>
        <v/>
      </c>
      <c r="L69" s="30">
        <f>J69*D69</f>
        <v/>
      </c>
      <c r="M69" s="30">
        <f>G69*E69</f>
        <v/>
      </c>
      <c r="N69" s="30">
        <f>L69+M69</f>
        <v/>
      </c>
      <c r="O69" s="29">
        <f>IF(N69&gt;0,L69/N69,0)</f>
        <v/>
      </c>
      <c r="P69" s="31">
        <f>IF(K69&lt;0.20,5.0,IF(K69&lt;0.30,5.5,IF(K69&lt;0.40,6.5,7.5)))</f>
        <v/>
      </c>
      <c r="Q69" s="31">
        <f>IF(K69&lt;0.20,5.5,IF(K69&lt;0.30,6.0,IF(K69&lt;0.40,7.0,8.5)))</f>
        <v/>
      </c>
    </row>
    <row r="70">
      <c r="A70" s="20" t="n">
        <v>69</v>
      </c>
      <c r="B70" s="20">
        <f>INT((A70-1)/12)+1</f>
        <v/>
      </c>
      <c r="C70" s="21">
        <f>Inputs!$B$4*(1+Inputs!$B$5)^INT((A70-1)/12)</f>
        <v/>
      </c>
      <c r="D70" s="22">
        <f>Inputs!$B$11*(1+Inputs!$B$12)^INT((A70-1)/12)</f>
        <v/>
      </c>
      <c r="E70" s="22">
        <f>Inputs!$B$15*(1+Inputs!$B$16)^INT((A70-1)/12)</f>
        <v/>
      </c>
      <c r="F70" s="21">
        <f>J69</f>
        <v/>
      </c>
      <c r="G70" s="21">
        <f>MAX(0,C70-F70)</f>
        <v/>
      </c>
      <c r="H70" s="21">
        <f>G70*Inputs!$B$10</f>
        <v/>
      </c>
      <c r="I70" s="21">
        <f>F70*Inputs!$B$9</f>
        <v/>
      </c>
      <c r="J70" s="21">
        <f>MAX(0,F70+H70-I70)</f>
        <v/>
      </c>
      <c r="K70" s="23">
        <f>IF(C70&gt;0,J70/C70,0)</f>
        <v/>
      </c>
      <c r="L70" s="24">
        <f>J70*D70</f>
        <v/>
      </c>
      <c r="M70" s="24">
        <f>G70*E70</f>
        <v/>
      </c>
      <c r="N70" s="24">
        <f>L70+M70</f>
        <v/>
      </c>
      <c r="O70" s="23">
        <f>IF(N70&gt;0,L70/N70,0)</f>
        <v/>
      </c>
      <c r="P70" s="25">
        <f>IF(K70&lt;0.20,5.0,IF(K70&lt;0.30,5.5,IF(K70&lt;0.40,6.5,7.5)))</f>
        <v/>
      </c>
      <c r="Q70" s="25">
        <f>IF(K70&lt;0.20,5.5,IF(K70&lt;0.30,6.0,IF(K70&lt;0.40,7.0,8.5)))</f>
        <v/>
      </c>
    </row>
    <row r="71">
      <c r="A71" s="26" t="n">
        <v>70</v>
      </c>
      <c r="B71" s="26">
        <f>INT((A71-1)/12)+1</f>
        <v/>
      </c>
      <c r="C71" s="27">
        <f>Inputs!$B$4*(1+Inputs!$B$5)^INT((A71-1)/12)</f>
        <v/>
      </c>
      <c r="D71" s="28">
        <f>Inputs!$B$11*(1+Inputs!$B$12)^INT((A71-1)/12)</f>
        <v/>
      </c>
      <c r="E71" s="28">
        <f>Inputs!$B$15*(1+Inputs!$B$16)^INT((A71-1)/12)</f>
        <v/>
      </c>
      <c r="F71" s="27">
        <f>J70</f>
        <v/>
      </c>
      <c r="G71" s="27">
        <f>MAX(0,C71-F71)</f>
        <v/>
      </c>
      <c r="H71" s="27">
        <f>G71*Inputs!$B$10</f>
        <v/>
      </c>
      <c r="I71" s="27">
        <f>F71*Inputs!$B$9</f>
        <v/>
      </c>
      <c r="J71" s="27">
        <f>MAX(0,F71+H71-I71)</f>
        <v/>
      </c>
      <c r="K71" s="29">
        <f>IF(C71&gt;0,J71/C71,0)</f>
        <v/>
      </c>
      <c r="L71" s="30">
        <f>J71*D71</f>
        <v/>
      </c>
      <c r="M71" s="30">
        <f>G71*E71</f>
        <v/>
      </c>
      <c r="N71" s="30">
        <f>L71+M71</f>
        <v/>
      </c>
      <c r="O71" s="29">
        <f>IF(N71&gt;0,L71/N71,0)</f>
        <v/>
      </c>
      <c r="P71" s="31">
        <f>IF(K71&lt;0.20,5.0,IF(K71&lt;0.30,5.5,IF(K71&lt;0.40,6.5,7.5)))</f>
        <v/>
      </c>
      <c r="Q71" s="31">
        <f>IF(K71&lt;0.20,5.5,IF(K71&lt;0.30,6.0,IF(K71&lt;0.40,7.0,8.5)))</f>
        <v/>
      </c>
    </row>
    <row r="72">
      <c r="A72" s="20" t="n">
        <v>71</v>
      </c>
      <c r="B72" s="20">
        <f>INT((A72-1)/12)+1</f>
        <v/>
      </c>
      <c r="C72" s="21">
        <f>Inputs!$B$4*(1+Inputs!$B$5)^INT((A72-1)/12)</f>
        <v/>
      </c>
      <c r="D72" s="22">
        <f>Inputs!$B$11*(1+Inputs!$B$12)^INT((A72-1)/12)</f>
        <v/>
      </c>
      <c r="E72" s="22">
        <f>Inputs!$B$15*(1+Inputs!$B$16)^INT((A72-1)/12)</f>
        <v/>
      </c>
      <c r="F72" s="21">
        <f>J71</f>
        <v/>
      </c>
      <c r="G72" s="21">
        <f>MAX(0,C72-F72)</f>
        <v/>
      </c>
      <c r="H72" s="21">
        <f>G72*Inputs!$B$10</f>
        <v/>
      </c>
      <c r="I72" s="21">
        <f>F72*Inputs!$B$9</f>
        <v/>
      </c>
      <c r="J72" s="21">
        <f>MAX(0,F72+H72-I72)</f>
        <v/>
      </c>
      <c r="K72" s="23">
        <f>IF(C72&gt;0,J72/C72,0)</f>
        <v/>
      </c>
      <c r="L72" s="24">
        <f>J72*D72</f>
        <v/>
      </c>
      <c r="M72" s="24">
        <f>G72*E72</f>
        <v/>
      </c>
      <c r="N72" s="24">
        <f>L72+M72</f>
        <v/>
      </c>
      <c r="O72" s="23">
        <f>IF(N72&gt;0,L72/N72,0)</f>
        <v/>
      </c>
      <c r="P72" s="25">
        <f>IF(K72&lt;0.20,5.0,IF(K72&lt;0.30,5.5,IF(K72&lt;0.40,6.5,7.5)))</f>
        <v/>
      </c>
      <c r="Q72" s="25">
        <f>IF(K72&lt;0.20,5.5,IF(K72&lt;0.30,6.0,IF(K72&lt;0.40,7.0,8.5)))</f>
        <v/>
      </c>
    </row>
    <row r="73">
      <c r="A73" s="26" t="n">
        <v>72</v>
      </c>
      <c r="B73" s="26">
        <f>INT((A73-1)/12)+1</f>
        <v/>
      </c>
      <c r="C73" s="27">
        <f>Inputs!$B$4*(1+Inputs!$B$5)^INT((A73-1)/12)</f>
        <v/>
      </c>
      <c r="D73" s="28">
        <f>Inputs!$B$11*(1+Inputs!$B$12)^INT((A73-1)/12)</f>
        <v/>
      </c>
      <c r="E73" s="28">
        <f>Inputs!$B$15*(1+Inputs!$B$16)^INT((A73-1)/12)</f>
        <v/>
      </c>
      <c r="F73" s="27">
        <f>J72</f>
        <v/>
      </c>
      <c r="G73" s="27">
        <f>MAX(0,C73-F73)</f>
        <v/>
      </c>
      <c r="H73" s="27">
        <f>G73*Inputs!$B$10</f>
        <v/>
      </c>
      <c r="I73" s="27">
        <f>F73*Inputs!$B$9</f>
        <v/>
      </c>
      <c r="J73" s="27">
        <f>MAX(0,F73+H73-I73)</f>
        <v/>
      </c>
      <c r="K73" s="29">
        <f>IF(C73&gt;0,J73/C73,0)</f>
        <v/>
      </c>
      <c r="L73" s="30">
        <f>J73*D73</f>
        <v/>
      </c>
      <c r="M73" s="30">
        <f>G73*E73</f>
        <v/>
      </c>
      <c r="N73" s="30">
        <f>L73+M73</f>
        <v/>
      </c>
      <c r="O73" s="29">
        <f>IF(N73&gt;0,L73/N73,0)</f>
        <v/>
      </c>
      <c r="P73" s="31">
        <f>IF(K73&lt;0.20,5.0,IF(K73&lt;0.30,5.5,IF(K73&lt;0.40,6.5,7.5)))</f>
        <v/>
      </c>
      <c r="Q73" s="31">
        <f>IF(K73&lt;0.20,5.5,IF(K73&lt;0.30,6.0,IF(K73&lt;0.40,7.0,8.5)))</f>
        <v/>
      </c>
    </row>
    <row r="74">
      <c r="A74" s="20" t="n">
        <v>73</v>
      </c>
      <c r="B74" s="20">
        <f>INT((A74-1)/12)+1</f>
        <v/>
      </c>
      <c r="C74" s="21">
        <f>Inputs!$B$4*(1+Inputs!$B$5)^INT((A74-1)/12)</f>
        <v/>
      </c>
      <c r="D74" s="22">
        <f>Inputs!$B$11*(1+Inputs!$B$12)^INT((A74-1)/12)</f>
        <v/>
      </c>
      <c r="E74" s="22">
        <f>Inputs!$B$15*(1+Inputs!$B$16)^INT((A74-1)/12)</f>
        <v/>
      </c>
      <c r="F74" s="21">
        <f>J73</f>
        <v/>
      </c>
      <c r="G74" s="21">
        <f>MAX(0,C74-F74)</f>
        <v/>
      </c>
      <c r="H74" s="21">
        <f>G74*Inputs!$B$10</f>
        <v/>
      </c>
      <c r="I74" s="21">
        <f>F74*Inputs!$B$9</f>
        <v/>
      </c>
      <c r="J74" s="21">
        <f>MAX(0,F74+H74-I74)</f>
        <v/>
      </c>
      <c r="K74" s="23">
        <f>IF(C74&gt;0,J74/C74,0)</f>
        <v/>
      </c>
      <c r="L74" s="24">
        <f>J74*D74</f>
        <v/>
      </c>
      <c r="M74" s="24">
        <f>G74*E74</f>
        <v/>
      </c>
      <c r="N74" s="24">
        <f>L74+M74</f>
        <v/>
      </c>
      <c r="O74" s="23">
        <f>IF(N74&gt;0,L74/N74,0)</f>
        <v/>
      </c>
      <c r="P74" s="25">
        <f>IF(K74&lt;0.20,5.0,IF(K74&lt;0.30,5.5,IF(K74&lt;0.40,6.5,7.5)))</f>
        <v/>
      </c>
      <c r="Q74" s="25">
        <f>IF(K74&lt;0.20,5.5,IF(K74&lt;0.30,6.0,IF(K74&lt;0.40,7.0,8.5)))</f>
        <v/>
      </c>
    </row>
    <row r="75">
      <c r="A75" s="26" t="n">
        <v>74</v>
      </c>
      <c r="B75" s="26">
        <f>INT((A75-1)/12)+1</f>
        <v/>
      </c>
      <c r="C75" s="27">
        <f>Inputs!$B$4*(1+Inputs!$B$5)^INT((A75-1)/12)</f>
        <v/>
      </c>
      <c r="D75" s="28">
        <f>Inputs!$B$11*(1+Inputs!$B$12)^INT((A75-1)/12)</f>
        <v/>
      </c>
      <c r="E75" s="28">
        <f>Inputs!$B$15*(1+Inputs!$B$16)^INT((A75-1)/12)</f>
        <v/>
      </c>
      <c r="F75" s="27">
        <f>J74</f>
        <v/>
      </c>
      <c r="G75" s="27">
        <f>MAX(0,C75-F75)</f>
        <v/>
      </c>
      <c r="H75" s="27">
        <f>G75*Inputs!$B$10</f>
        <v/>
      </c>
      <c r="I75" s="27">
        <f>F75*Inputs!$B$9</f>
        <v/>
      </c>
      <c r="J75" s="27">
        <f>MAX(0,F75+H75-I75)</f>
        <v/>
      </c>
      <c r="K75" s="29">
        <f>IF(C75&gt;0,J75/C75,0)</f>
        <v/>
      </c>
      <c r="L75" s="30">
        <f>J75*D75</f>
        <v/>
      </c>
      <c r="M75" s="30">
        <f>G75*E75</f>
        <v/>
      </c>
      <c r="N75" s="30">
        <f>L75+M75</f>
        <v/>
      </c>
      <c r="O75" s="29">
        <f>IF(N75&gt;0,L75/N75,0)</f>
        <v/>
      </c>
      <c r="P75" s="31">
        <f>IF(K75&lt;0.20,5.0,IF(K75&lt;0.30,5.5,IF(K75&lt;0.40,6.5,7.5)))</f>
        <v/>
      </c>
      <c r="Q75" s="31">
        <f>IF(K75&lt;0.20,5.5,IF(K75&lt;0.30,6.0,IF(K75&lt;0.40,7.0,8.5)))</f>
        <v/>
      </c>
    </row>
    <row r="76">
      <c r="A76" s="20" t="n">
        <v>75</v>
      </c>
      <c r="B76" s="20">
        <f>INT((A76-1)/12)+1</f>
        <v/>
      </c>
      <c r="C76" s="21">
        <f>Inputs!$B$4*(1+Inputs!$B$5)^INT((A76-1)/12)</f>
        <v/>
      </c>
      <c r="D76" s="22">
        <f>Inputs!$B$11*(1+Inputs!$B$12)^INT((A76-1)/12)</f>
        <v/>
      </c>
      <c r="E76" s="22">
        <f>Inputs!$B$15*(1+Inputs!$B$16)^INT((A76-1)/12)</f>
        <v/>
      </c>
      <c r="F76" s="21">
        <f>J75</f>
        <v/>
      </c>
      <c r="G76" s="21">
        <f>MAX(0,C76-F76)</f>
        <v/>
      </c>
      <c r="H76" s="21">
        <f>G76*Inputs!$B$10</f>
        <v/>
      </c>
      <c r="I76" s="21">
        <f>F76*Inputs!$B$9</f>
        <v/>
      </c>
      <c r="J76" s="21">
        <f>MAX(0,F76+H76-I76)</f>
        <v/>
      </c>
      <c r="K76" s="23">
        <f>IF(C76&gt;0,J76/C76,0)</f>
        <v/>
      </c>
      <c r="L76" s="24">
        <f>J76*D76</f>
        <v/>
      </c>
      <c r="M76" s="24">
        <f>G76*E76</f>
        <v/>
      </c>
      <c r="N76" s="24">
        <f>L76+M76</f>
        <v/>
      </c>
      <c r="O76" s="23">
        <f>IF(N76&gt;0,L76/N76,0)</f>
        <v/>
      </c>
      <c r="P76" s="25">
        <f>IF(K76&lt;0.20,5.0,IF(K76&lt;0.30,5.5,IF(K76&lt;0.40,6.5,7.5)))</f>
        <v/>
      </c>
      <c r="Q76" s="25">
        <f>IF(K76&lt;0.20,5.5,IF(K76&lt;0.30,6.0,IF(K76&lt;0.40,7.0,8.5)))</f>
        <v/>
      </c>
    </row>
    <row r="77">
      <c r="A77" s="26" t="n">
        <v>76</v>
      </c>
      <c r="B77" s="26">
        <f>INT((A77-1)/12)+1</f>
        <v/>
      </c>
      <c r="C77" s="27">
        <f>Inputs!$B$4*(1+Inputs!$B$5)^INT((A77-1)/12)</f>
        <v/>
      </c>
      <c r="D77" s="28">
        <f>Inputs!$B$11*(1+Inputs!$B$12)^INT((A77-1)/12)</f>
        <v/>
      </c>
      <c r="E77" s="28">
        <f>Inputs!$B$15*(1+Inputs!$B$16)^INT((A77-1)/12)</f>
        <v/>
      </c>
      <c r="F77" s="27">
        <f>J76</f>
        <v/>
      </c>
      <c r="G77" s="27">
        <f>MAX(0,C77-F77)</f>
        <v/>
      </c>
      <c r="H77" s="27">
        <f>G77*Inputs!$B$10</f>
        <v/>
      </c>
      <c r="I77" s="27">
        <f>F77*Inputs!$B$9</f>
        <v/>
      </c>
      <c r="J77" s="27">
        <f>MAX(0,F77+H77-I77)</f>
        <v/>
      </c>
      <c r="K77" s="29">
        <f>IF(C77&gt;0,J77/C77,0)</f>
        <v/>
      </c>
      <c r="L77" s="30">
        <f>J77*D77</f>
        <v/>
      </c>
      <c r="M77" s="30">
        <f>G77*E77</f>
        <v/>
      </c>
      <c r="N77" s="30">
        <f>L77+M77</f>
        <v/>
      </c>
      <c r="O77" s="29">
        <f>IF(N77&gt;0,L77/N77,0)</f>
        <v/>
      </c>
      <c r="P77" s="31">
        <f>IF(K77&lt;0.20,5.0,IF(K77&lt;0.30,5.5,IF(K77&lt;0.40,6.5,7.5)))</f>
        <v/>
      </c>
      <c r="Q77" s="31">
        <f>IF(K77&lt;0.20,5.5,IF(K77&lt;0.30,6.0,IF(K77&lt;0.40,7.0,8.5)))</f>
        <v/>
      </c>
    </row>
    <row r="78">
      <c r="A78" s="20" t="n">
        <v>77</v>
      </c>
      <c r="B78" s="20">
        <f>INT((A78-1)/12)+1</f>
        <v/>
      </c>
      <c r="C78" s="21">
        <f>Inputs!$B$4*(1+Inputs!$B$5)^INT((A78-1)/12)</f>
        <v/>
      </c>
      <c r="D78" s="22">
        <f>Inputs!$B$11*(1+Inputs!$B$12)^INT((A78-1)/12)</f>
        <v/>
      </c>
      <c r="E78" s="22">
        <f>Inputs!$B$15*(1+Inputs!$B$16)^INT((A78-1)/12)</f>
        <v/>
      </c>
      <c r="F78" s="21">
        <f>J77</f>
        <v/>
      </c>
      <c r="G78" s="21">
        <f>MAX(0,C78-F78)</f>
        <v/>
      </c>
      <c r="H78" s="21">
        <f>G78*Inputs!$B$10</f>
        <v/>
      </c>
      <c r="I78" s="21">
        <f>F78*Inputs!$B$9</f>
        <v/>
      </c>
      <c r="J78" s="21">
        <f>MAX(0,F78+H78-I78)</f>
        <v/>
      </c>
      <c r="K78" s="23">
        <f>IF(C78&gt;0,J78/C78,0)</f>
        <v/>
      </c>
      <c r="L78" s="24">
        <f>J78*D78</f>
        <v/>
      </c>
      <c r="M78" s="24">
        <f>G78*E78</f>
        <v/>
      </c>
      <c r="N78" s="24">
        <f>L78+M78</f>
        <v/>
      </c>
      <c r="O78" s="23">
        <f>IF(N78&gt;0,L78/N78,0)</f>
        <v/>
      </c>
      <c r="P78" s="25">
        <f>IF(K78&lt;0.20,5.0,IF(K78&lt;0.30,5.5,IF(K78&lt;0.40,6.5,7.5)))</f>
        <v/>
      </c>
      <c r="Q78" s="25">
        <f>IF(K78&lt;0.20,5.5,IF(K78&lt;0.30,6.0,IF(K78&lt;0.40,7.0,8.5)))</f>
        <v/>
      </c>
    </row>
    <row r="79">
      <c r="A79" s="26" t="n">
        <v>78</v>
      </c>
      <c r="B79" s="26">
        <f>INT((A79-1)/12)+1</f>
        <v/>
      </c>
      <c r="C79" s="27">
        <f>Inputs!$B$4*(1+Inputs!$B$5)^INT((A79-1)/12)</f>
        <v/>
      </c>
      <c r="D79" s="28">
        <f>Inputs!$B$11*(1+Inputs!$B$12)^INT((A79-1)/12)</f>
        <v/>
      </c>
      <c r="E79" s="28">
        <f>Inputs!$B$15*(1+Inputs!$B$16)^INT((A79-1)/12)</f>
        <v/>
      </c>
      <c r="F79" s="27">
        <f>J78</f>
        <v/>
      </c>
      <c r="G79" s="27">
        <f>MAX(0,C79-F79)</f>
        <v/>
      </c>
      <c r="H79" s="27">
        <f>G79*Inputs!$B$10</f>
        <v/>
      </c>
      <c r="I79" s="27">
        <f>F79*Inputs!$B$9</f>
        <v/>
      </c>
      <c r="J79" s="27">
        <f>MAX(0,F79+H79-I79)</f>
        <v/>
      </c>
      <c r="K79" s="29">
        <f>IF(C79&gt;0,J79/C79,0)</f>
        <v/>
      </c>
      <c r="L79" s="30">
        <f>J79*D79</f>
        <v/>
      </c>
      <c r="M79" s="30">
        <f>G79*E79</f>
        <v/>
      </c>
      <c r="N79" s="30">
        <f>L79+M79</f>
        <v/>
      </c>
      <c r="O79" s="29">
        <f>IF(N79&gt;0,L79/N79,0)</f>
        <v/>
      </c>
      <c r="P79" s="31">
        <f>IF(K79&lt;0.20,5.0,IF(K79&lt;0.30,5.5,IF(K79&lt;0.40,6.5,7.5)))</f>
        <v/>
      </c>
      <c r="Q79" s="31">
        <f>IF(K79&lt;0.20,5.5,IF(K79&lt;0.30,6.0,IF(K79&lt;0.40,7.0,8.5)))</f>
        <v/>
      </c>
    </row>
    <row r="80">
      <c r="A80" s="20" t="n">
        <v>79</v>
      </c>
      <c r="B80" s="20">
        <f>INT((A80-1)/12)+1</f>
        <v/>
      </c>
      <c r="C80" s="21">
        <f>Inputs!$B$4*(1+Inputs!$B$5)^INT((A80-1)/12)</f>
        <v/>
      </c>
      <c r="D80" s="22">
        <f>Inputs!$B$11*(1+Inputs!$B$12)^INT((A80-1)/12)</f>
        <v/>
      </c>
      <c r="E80" s="22">
        <f>Inputs!$B$15*(1+Inputs!$B$16)^INT((A80-1)/12)</f>
        <v/>
      </c>
      <c r="F80" s="21">
        <f>J79</f>
        <v/>
      </c>
      <c r="G80" s="21">
        <f>MAX(0,C80-F80)</f>
        <v/>
      </c>
      <c r="H80" s="21">
        <f>G80*Inputs!$B$10</f>
        <v/>
      </c>
      <c r="I80" s="21">
        <f>F80*Inputs!$B$9</f>
        <v/>
      </c>
      <c r="J80" s="21">
        <f>MAX(0,F80+H80-I80)</f>
        <v/>
      </c>
      <c r="K80" s="23">
        <f>IF(C80&gt;0,J80/C80,0)</f>
        <v/>
      </c>
      <c r="L80" s="24">
        <f>J80*D80</f>
        <v/>
      </c>
      <c r="M80" s="24">
        <f>G80*E80</f>
        <v/>
      </c>
      <c r="N80" s="24">
        <f>L80+M80</f>
        <v/>
      </c>
      <c r="O80" s="23">
        <f>IF(N80&gt;0,L80/N80,0)</f>
        <v/>
      </c>
      <c r="P80" s="25">
        <f>IF(K80&lt;0.20,5.0,IF(K80&lt;0.30,5.5,IF(K80&lt;0.40,6.5,7.5)))</f>
        <v/>
      </c>
      <c r="Q80" s="25">
        <f>IF(K80&lt;0.20,5.5,IF(K80&lt;0.30,6.0,IF(K80&lt;0.40,7.0,8.5)))</f>
        <v/>
      </c>
    </row>
    <row r="81">
      <c r="A81" s="26" t="n">
        <v>80</v>
      </c>
      <c r="B81" s="26">
        <f>INT((A81-1)/12)+1</f>
        <v/>
      </c>
      <c r="C81" s="27">
        <f>Inputs!$B$4*(1+Inputs!$B$5)^INT((A81-1)/12)</f>
        <v/>
      </c>
      <c r="D81" s="28">
        <f>Inputs!$B$11*(1+Inputs!$B$12)^INT((A81-1)/12)</f>
        <v/>
      </c>
      <c r="E81" s="28">
        <f>Inputs!$B$15*(1+Inputs!$B$16)^INT((A81-1)/12)</f>
        <v/>
      </c>
      <c r="F81" s="27">
        <f>J80</f>
        <v/>
      </c>
      <c r="G81" s="27">
        <f>MAX(0,C81-F81)</f>
        <v/>
      </c>
      <c r="H81" s="27">
        <f>G81*Inputs!$B$10</f>
        <v/>
      </c>
      <c r="I81" s="27">
        <f>F81*Inputs!$B$9</f>
        <v/>
      </c>
      <c r="J81" s="27">
        <f>MAX(0,F81+H81-I81)</f>
        <v/>
      </c>
      <c r="K81" s="29">
        <f>IF(C81&gt;0,J81/C81,0)</f>
        <v/>
      </c>
      <c r="L81" s="30">
        <f>J81*D81</f>
        <v/>
      </c>
      <c r="M81" s="30">
        <f>G81*E81</f>
        <v/>
      </c>
      <c r="N81" s="30">
        <f>L81+M81</f>
        <v/>
      </c>
      <c r="O81" s="29">
        <f>IF(N81&gt;0,L81/N81,0)</f>
        <v/>
      </c>
      <c r="P81" s="31">
        <f>IF(K81&lt;0.20,5.0,IF(K81&lt;0.30,5.5,IF(K81&lt;0.40,6.5,7.5)))</f>
        <v/>
      </c>
      <c r="Q81" s="31">
        <f>IF(K81&lt;0.20,5.5,IF(K81&lt;0.30,6.0,IF(K81&lt;0.40,7.0,8.5)))</f>
        <v/>
      </c>
    </row>
    <row r="82">
      <c r="A82" s="20" t="n">
        <v>81</v>
      </c>
      <c r="B82" s="20">
        <f>INT((A82-1)/12)+1</f>
        <v/>
      </c>
      <c r="C82" s="21">
        <f>Inputs!$B$4*(1+Inputs!$B$5)^INT((A82-1)/12)</f>
        <v/>
      </c>
      <c r="D82" s="22">
        <f>Inputs!$B$11*(1+Inputs!$B$12)^INT((A82-1)/12)</f>
        <v/>
      </c>
      <c r="E82" s="22">
        <f>Inputs!$B$15*(1+Inputs!$B$16)^INT((A82-1)/12)</f>
        <v/>
      </c>
      <c r="F82" s="21">
        <f>J81</f>
        <v/>
      </c>
      <c r="G82" s="21">
        <f>MAX(0,C82-F82)</f>
        <v/>
      </c>
      <c r="H82" s="21">
        <f>G82*Inputs!$B$10</f>
        <v/>
      </c>
      <c r="I82" s="21">
        <f>F82*Inputs!$B$9</f>
        <v/>
      </c>
      <c r="J82" s="21">
        <f>MAX(0,F82+H82-I82)</f>
        <v/>
      </c>
      <c r="K82" s="23">
        <f>IF(C82&gt;0,J82/C82,0)</f>
        <v/>
      </c>
      <c r="L82" s="24">
        <f>J82*D82</f>
        <v/>
      </c>
      <c r="M82" s="24">
        <f>G82*E82</f>
        <v/>
      </c>
      <c r="N82" s="24">
        <f>L82+M82</f>
        <v/>
      </c>
      <c r="O82" s="23">
        <f>IF(N82&gt;0,L82/N82,0)</f>
        <v/>
      </c>
      <c r="P82" s="25">
        <f>IF(K82&lt;0.20,5.0,IF(K82&lt;0.30,5.5,IF(K82&lt;0.40,6.5,7.5)))</f>
        <v/>
      </c>
      <c r="Q82" s="25">
        <f>IF(K82&lt;0.20,5.5,IF(K82&lt;0.30,6.0,IF(K82&lt;0.40,7.0,8.5)))</f>
        <v/>
      </c>
    </row>
    <row r="83">
      <c r="A83" s="26" t="n">
        <v>82</v>
      </c>
      <c r="B83" s="26">
        <f>INT((A83-1)/12)+1</f>
        <v/>
      </c>
      <c r="C83" s="27">
        <f>Inputs!$B$4*(1+Inputs!$B$5)^INT((A83-1)/12)</f>
        <v/>
      </c>
      <c r="D83" s="28">
        <f>Inputs!$B$11*(1+Inputs!$B$12)^INT((A83-1)/12)</f>
        <v/>
      </c>
      <c r="E83" s="28">
        <f>Inputs!$B$15*(1+Inputs!$B$16)^INT((A83-1)/12)</f>
        <v/>
      </c>
      <c r="F83" s="27">
        <f>J82</f>
        <v/>
      </c>
      <c r="G83" s="27">
        <f>MAX(0,C83-F83)</f>
        <v/>
      </c>
      <c r="H83" s="27">
        <f>G83*Inputs!$B$10</f>
        <v/>
      </c>
      <c r="I83" s="27">
        <f>F83*Inputs!$B$9</f>
        <v/>
      </c>
      <c r="J83" s="27">
        <f>MAX(0,F83+H83-I83)</f>
        <v/>
      </c>
      <c r="K83" s="29">
        <f>IF(C83&gt;0,J83/C83,0)</f>
        <v/>
      </c>
      <c r="L83" s="30">
        <f>J83*D83</f>
        <v/>
      </c>
      <c r="M83" s="30">
        <f>G83*E83</f>
        <v/>
      </c>
      <c r="N83" s="30">
        <f>L83+M83</f>
        <v/>
      </c>
      <c r="O83" s="29">
        <f>IF(N83&gt;0,L83/N83,0)</f>
        <v/>
      </c>
      <c r="P83" s="31">
        <f>IF(K83&lt;0.20,5.0,IF(K83&lt;0.30,5.5,IF(K83&lt;0.40,6.5,7.5)))</f>
        <v/>
      </c>
      <c r="Q83" s="31">
        <f>IF(K83&lt;0.20,5.5,IF(K83&lt;0.30,6.0,IF(K83&lt;0.40,7.0,8.5)))</f>
        <v/>
      </c>
    </row>
    <row r="84">
      <c r="A84" s="20" t="n">
        <v>83</v>
      </c>
      <c r="B84" s="20">
        <f>INT((A84-1)/12)+1</f>
        <v/>
      </c>
      <c r="C84" s="21">
        <f>Inputs!$B$4*(1+Inputs!$B$5)^INT((A84-1)/12)</f>
        <v/>
      </c>
      <c r="D84" s="22">
        <f>Inputs!$B$11*(1+Inputs!$B$12)^INT((A84-1)/12)</f>
        <v/>
      </c>
      <c r="E84" s="22">
        <f>Inputs!$B$15*(1+Inputs!$B$16)^INT((A84-1)/12)</f>
        <v/>
      </c>
      <c r="F84" s="21">
        <f>J83</f>
        <v/>
      </c>
      <c r="G84" s="21">
        <f>MAX(0,C84-F84)</f>
        <v/>
      </c>
      <c r="H84" s="21">
        <f>G84*Inputs!$B$10</f>
        <v/>
      </c>
      <c r="I84" s="21">
        <f>F84*Inputs!$B$9</f>
        <v/>
      </c>
      <c r="J84" s="21">
        <f>MAX(0,F84+H84-I84)</f>
        <v/>
      </c>
      <c r="K84" s="23">
        <f>IF(C84&gt;0,J84/C84,0)</f>
        <v/>
      </c>
      <c r="L84" s="24">
        <f>J84*D84</f>
        <v/>
      </c>
      <c r="M84" s="24">
        <f>G84*E84</f>
        <v/>
      </c>
      <c r="N84" s="24">
        <f>L84+M84</f>
        <v/>
      </c>
      <c r="O84" s="23">
        <f>IF(N84&gt;0,L84/N84,0)</f>
        <v/>
      </c>
      <c r="P84" s="25">
        <f>IF(K84&lt;0.20,5.0,IF(K84&lt;0.30,5.5,IF(K84&lt;0.40,6.5,7.5)))</f>
        <v/>
      </c>
      <c r="Q84" s="25">
        <f>IF(K84&lt;0.20,5.5,IF(K84&lt;0.30,6.0,IF(K84&lt;0.40,7.0,8.5)))</f>
        <v/>
      </c>
    </row>
    <row r="85">
      <c r="A85" s="26" t="n">
        <v>84</v>
      </c>
      <c r="B85" s="26">
        <f>INT((A85-1)/12)+1</f>
        <v/>
      </c>
      <c r="C85" s="27">
        <f>Inputs!$B$4*(1+Inputs!$B$5)^INT((A85-1)/12)</f>
        <v/>
      </c>
      <c r="D85" s="28">
        <f>Inputs!$B$11*(1+Inputs!$B$12)^INT((A85-1)/12)</f>
        <v/>
      </c>
      <c r="E85" s="28">
        <f>Inputs!$B$15*(1+Inputs!$B$16)^INT((A85-1)/12)</f>
        <v/>
      </c>
      <c r="F85" s="27">
        <f>J84</f>
        <v/>
      </c>
      <c r="G85" s="27">
        <f>MAX(0,C85-F85)</f>
        <v/>
      </c>
      <c r="H85" s="27">
        <f>G85*Inputs!$B$10</f>
        <v/>
      </c>
      <c r="I85" s="27">
        <f>F85*Inputs!$B$9</f>
        <v/>
      </c>
      <c r="J85" s="27">
        <f>MAX(0,F85+H85-I85)</f>
        <v/>
      </c>
      <c r="K85" s="29">
        <f>IF(C85&gt;0,J85/C85,0)</f>
        <v/>
      </c>
      <c r="L85" s="30">
        <f>J85*D85</f>
        <v/>
      </c>
      <c r="M85" s="30">
        <f>G85*E85</f>
        <v/>
      </c>
      <c r="N85" s="30">
        <f>L85+M85</f>
        <v/>
      </c>
      <c r="O85" s="29">
        <f>IF(N85&gt;0,L85/N85,0)</f>
        <v/>
      </c>
      <c r="P85" s="31">
        <f>IF(K85&lt;0.20,5.0,IF(K85&lt;0.30,5.5,IF(K85&lt;0.40,6.5,7.5)))</f>
        <v/>
      </c>
      <c r="Q85" s="31">
        <f>IF(K85&lt;0.20,5.5,IF(K85&lt;0.30,6.0,IF(K85&lt;0.40,7.0,8.5)))</f>
        <v/>
      </c>
    </row>
    <row r="86">
      <c r="A86" s="20" t="n">
        <v>85</v>
      </c>
      <c r="B86" s="20">
        <f>INT((A86-1)/12)+1</f>
        <v/>
      </c>
      <c r="C86" s="21">
        <f>Inputs!$B$4*(1+Inputs!$B$5)^INT((A86-1)/12)</f>
        <v/>
      </c>
      <c r="D86" s="22">
        <f>Inputs!$B$11*(1+Inputs!$B$12)^INT((A86-1)/12)</f>
        <v/>
      </c>
      <c r="E86" s="22">
        <f>Inputs!$B$15*(1+Inputs!$B$16)^INT((A86-1)/12)</f>
        <v/>
      </c>
      <c r="F86" s="21">
        <f>J85</f>
        <v/>
      </c>
      <c r="G86" s="21">
        <f>MAX(0,C86-F86)</f>
        <v/>
      </c>
      <c r="H86" s="21">
        <f>G86*Inputs!$B$10</f>
        <v/>
      </c>
      <c r="I86" s="21">
        <f>F86*Inputs!$B$9</f>
        <v/>
      </c>
      <c r="J86" s="21">
        <f>MAX(0,F86+H86-I86)</f>
        <v/>
      </c>
      <c r="K86" s="23">
        <f>IF(C86&gt;0,J86/C86,0)</f>
        <v/>
      </c>
      <c r="L86" s="24">
        <f>J86*D86</f>
        <v/>
      </c>
      <c r="M86" s="24">
        <f>G86*E86</f>
        <v/>
      </c>
      <c r="N86" s="24">
        <f>L86+M86</f>
        <v/>
      </c>
      <c r="O86" s="23">
        <f>IF(N86&gt;0,L86/N86,0)</f>
        <v/>
      </c>
      <c r="P86" s="25">
        <f>IF(K86&lt;0.20,5.0,IF(K86&lt;0.30,5.5,IF(K86&lt;0.40,6.5,7.5)))</f>
        <v/>
      </c>
      <c r="Q86" s="25">
        <f>IF(K86&lt;0.20,5.5,IF(K86&lt;0.30,6.0,IF(K86&lt;0.40,7.0,8.5)))</f>
        <v/>
      </c>
    </row>
    <row r="87">
      <c r="A87" s="26" t="n">
        <v>86</v>
      </c>
      <c r="B87" s="26">
        <f>INT((A87-1)/12)+1</f>
        <v/>
      </c>
      <c r="C87" s="27">
        <f>Inputs!$B$4*(1+Inputs!$B$5)^INT((A87-1)/12)</f>
        <v/>
      </c>
      <c r="D87" s="28">
        <f>Inputs!$B$11*(1+Inputs!$B$12)^INT((A87-1)/12)</f>
        <v/>
      </c>
      <c r="E87" s="28">
        <f>Inputs!$B$15*(1+Inputs!$B$16)^INT((A87-1)/12)</f>
        <v/>
      </c>
      <c r="F87" s="27">
        <f>J86</f>
        <v/>
      </c>
      <c r="G87" s="27">
        <f>MAX(0,C87-F87)</f>
        <v/>
      </c>
      <c r="H87" s="27">
        <f>G87*Inputs!$B$10</f>
        <v/>
      </c>
      <c r="I87" s="27">
        <f>F87*Inputs!$B$9</f>
        <v/>
      </c>
      <c r="J87" s="27">
        <f>MAX(0,F87+H87-I87)</f>
        <v/>
      </c>
      <c r="K87" s="29">
        <f>IF(C87&gt;0,J87/C87,0)</f>
        <v/>
      </c>
      <c r="L87" s="30">
        <f>J87*D87</f>
        <v/>
      </c>
      <c r="M87" s="30">
        <f>G87*E87</f>
        <v/>
      </c>
      <c r="N87" s="30">
        <f>L87+M87</f>
        <v/>
      </c>
      <c r="O87" s="29">
        <f>IF(N87&gt;0,L87/N87,0)</f>
        <v/>
      </c>
      <c r="P87" s="31">
        <f>IF(K87&lt;0.20,5.0,IF(K87&lt;0.30,5.5,IF(K87&lt;0.40,6.5,7.5)))</f>
        <v/>
      </c>
      <c r="Q87" s="31">
        <f>IF(K87&lt;0.20,5.5,IF(K87&lt;0.30,6.0,IF(K87&lt;0.40,7.0,8.5)))</f>
        <v/>
      </c>
    </row>
    <row r="88">
      <c r="A88" s="20" t="n">
        <v>87</v>
      </c>
      <c r="B88" s="20">
        <f>INT((A88-1)/12)+1</f>
        <v/>
      </c>
      <c r="C88" s="21">
        <f>Inputs!$B$4*(1+Inputs!$B$5)^INT((A88-1)/12)</f>
        <v/>
      </c>
      <c r="D88" s="22">
        <f>Inputs!$B$11*(1+Inputs!$B$12)^INT((A88-1)/12)</f>
        <v/>
      </c>
      <c r="E88" s="22">
        <f>Inputs!$B$15*(1+Inputs!$B$16)^INT((A88-1)/12)</f>
        <v/>
      </c>
      <c r="F88" s="21">
        <f>J87</f>
        <v/>
      </c>
      <c r="G88" s="21">
        <f>MAX(0,C88-F88)</f>
        <v/>
      </c>
      <c r="H88" s="21">
        <f>G88*Inputs!$B$10</f>
        <v/>
      </c>
      <c r="I88" s="21">
        <f>F88*Inputs!$B$9</f>
        <v/>
      </c>
      <c r="J88" s="21">
        <f>MAX(0,F88+H88-I88)</f>
        <v/>
      </c>
      <c r="K88" s="23">
        <f>IF(C88&gt;0,J88/C88,0)</f>
        <v/>
      </c>
      <c r="L88" s="24">
        <f>J88*D88</f>
        <v/>
      </c>
      <c r="M88" s="24">
        <f>G88*E88</f>
        <v/>
      </c>
      <c r="N88" s="24">
        <f>L88+M88</f>
        <v/>
      </c>
      <c r="O88" s="23">
        <f>IF(N88&gt;0,L88/N88,0)</f>
        <v/>
      </c>
      <c r="P88" s="25">
        <f>IF(K88&lt;0.20,5.0,IF(K88&lt;0.30,5.5,IF(K88&lt;0.40,6.5,7.5)))</f>
        <v/>
      </c>
      <c r="Q88" s="25">
        <f>IF(K88&lt;0.20,5.5,IF(K88&lt;0.30,6.0,IF(K88&lt;0.40,7.0,8.5)))</f>
        <v/>
      </c>
    </row>
    <row r="89">
      <c r="A89" s="26" t="n">
        <v>88</v>
      </c>
      <c r="B89" s="26">
        <f>INT((A89-1)/12)+1</f>
        <v/>
      </c>
      <c r="C89" s="27">
        <f>Inputs!$B$4*(1+Inputs!$B$5)^INT((A89-1)/12)</f>
        <v/>
      </c>
      <c r="D89" s="28">
        <f>Inputs!$B$11*(1+Inputs!$B$12)^INT((A89-1)/12)</f>
        <v/>
      </c>
      <c r="E89" s="28">
        <f>Inputs!$B$15*(1+Inputs!$B$16)^INT((A89-1)/12)</f>
        <v/>
      </c>
      <c r="F89" s="27">
        <f>J88</f>
        <v/>
      </c>
      <c r="G89" s="27">
        <f>MAX(0,C89-F89)</f>
        <v/>
      </c>
      <c r="H89" s="27">
        <f>G89*Inputs!$B$10</f>
        <v/>
      </c>
      <c r="I89" s="27">
        <f>F89*Inputs!$B$9</f>
        <v/>
      </c>
      <c r="J89" s="27">
        <f>MAX(0,F89+H89-I89)</f>
        <v/>
      </c>
      <c r="K89" s="29">
        <f>IF(C89&gt;0,J89/C89,0)</f>
        <v/>
      </c>
      <c r="L89" s="30">
        <f>J89*D89</f>
        <v/>
      </c>
      <c r="M89" s="30">
        <f>G89*E89</f>
        <v/>
      </c>
      <c r="N89" s="30">
        <f>L89+M89</f>
        <v/>
      </c>
      <c r="O89" s="29">
        <f>IF(N89&gt;0,L89/N89,0)</f>
        <v/>
      </c>
      <c r="P89" s="31">
        <f>IF(K89&lt;0.20,5.0,IF(K89&lt;0.30,5.5,IF(K89&lt;0.40,6.5,7.5)))</f>
        <v/>
      </c>
      <c r="Q89" s="31">
        <f>IF(K89&lt;0.20,5.5,IF(K89&lt;0.30,6.0,IF(K89&lt;0.40,7.0,8.5)))</f>
        <v/>
      </c>
    </row>
    <row r="90">
      <c r="A90" s="20" t="n">
        <v>89</v>
      </c>
      <c r="B90" s="20">
        <f>INT((A90-1)/12)+1</f>
        <v/>
      </c>
      <c r="C90" s="21">
        <f>Inputs!$B$4*(1+Inputs!$B$5)^INT((A90-1)/12)</f>
        <v/>
      </c>
      <c r="D90" s="22">
        <f>Inputs!$B$11*(1+Inputs!$B$12)^INT((A90-1)/12)</f>
        <v/>
      </c>
      <c r="E90" s="22">
        <f>Inputs!$B$15*(1+Inputs!$B$16)^INT((A90-1)/12)</f>
        <v/>
      </c>
      <c r="F90" s="21">
        <f>J89</f>
        <v/>
      </c>
      <c r="G90" s="21">
        <f>MAX(0,C90-F90)</f>
        <v/>
      </c>
      <c r="H90" s="21">
        <f>G90*Inputs!$B$10</f>
        <v/>
      </c>
      <c r="I90" s="21">
        <f>F90*Inputs!$B$9</f>
        <v/>
      </c>
      <c r="J90" s="21">
        <f>MAX(0,F90+H90-I90)</f>
        <v/>
      </c>
      <c r="K90" s="23">
        <f>IF(C90&gt;0,J90/C90,0)</f>
        <v/>
      </c>
      <c r="L90" s="24">
        <f>J90*D90</f>
        <v/>
      </c>
      <c r="M90" s="24">
        <f>G90*E90</f>
        <v/>
      </c>
      <c r="N90" s="24">
        <f>L90+M90</f>
        <v/>
      </c>
      <c r="O90" s="23">
        <f>IF(N90&gt;0,L90/N90,0)</f>
        <v/>
      </c>
      <c r="P90" s="25">
        <f>IF(K90&lt;0.20,5.0,IF(K90&lt;0.30,5.5,IF(K90&lt;0.40,6.5,7.5)))</f>
        <v/>
      </c>
      <c r="Q90" s="25">
        <f>IF(K90&lt;0.20,5.5,IF(K90&lt;0.30,6.0,IF(K90&lt;0.40,7.0,8.5)))</f>
        <v/>
      </c>
    </row>
    <row r="91">
      <c r="A91" s="26" t="n">
        <v>90</v>
      </c>
      <c r="B91" s="26">
        <f>INT((A91-1)/12)+1</f>
        <v/>
      </c>
      <c r="C91" s="27">
        <f>Inputs!$B$4*(1+Inputs!$B$5)^INT((A91-1)/12)</f>
        <v/>
      </c>
      <c r="D91" s="28">
        <f>Inputs!$B$11*(1+Inputs!$B$12)^INT((A91-1)/12)</f>
        <v/>
      </c>
      <c r="E91" s="28">
        <f>Inputs!$B$15*(1+Inputs!$B$16)^INT((A91-1)/12)</f>
        <v/>
      </c>
      <c r="F91" s="27">
        <f>J90</f>
        <v/>
      </c>
      <c r="G91" s="27">
        <f>MAX(0,C91-F91)</f>
        <v/>
      </c>
      <c r="H91" s="27">
        <f>G91*Inputs!$B$10</f>
        <v/>
      </c>
      <c r="I91" s="27">
        <f>F91*Inputs!$B$9</f>
        <v/>
      </c>
      <c r="J91" s="27">
        <f>MAX(0,F91+H91-I91)</f>
        <v/>
      </c>
      <c r="K91" s="29">
        <f>IF(C91&gt;0,J91/C91,0)</f>
        <v/>
      </c>
      <c r="L91" s="30">
        <f>J91*D91</f>
        <v/>
      </c>
      <c r="M91" s="30">
        <f>G91*E91</f>
        <v/>
      </c>
      <c r="N91" s="30">
        <f>L91+M91</f>
        <v/>
      </c>
      <c r="O91" s="29">
        <f>IF(N91&gt;0,L91/N91,0)</f>
        <v/>
      </c>
      <c r="P91" s="31">
        <f>IF(K91&lt;0.20,5.0,IF(K91&lt;0.30,5.5,IF(K91&lt;0.40,6.5,7.5)))</f>
        <v/>
      </c>
      <c r="Q91" s="31">
        <f>IF(K91&lt;0.20,5.5,IF(K91&lt;0.30,6.0,IF(K91&lt;0.40,7.0,8.5)))</f>
        <v/>
      </c>
    </row>
    <row r="92">
      <c r="A92" s="20" t="n">
        <v>91</v>
      </c>
      <c r="B92" s="20">
        <f>INT((A92-1)/12)+1</f>
        <v/>
      </c>
      <c r="C92" s="21">
        <f>Inputs!$B$4*(1+Inputs!$B$5)^INT((A92-1)/12)</f>
        <v/>
      </c>
      <c r="D92" s="22">
        <f>Inputs!$B$11*(1+Inputs!$B$12)^INT((A92-1)/12)</f>
        <v/>
      </c>
      <c r="E92" s="22">
        <f>Inputs!$B$15*(1+Inputs!$B$16)^INT((A92-1)/12)</f>
        <v/>
      </c>
      <c r="F92" s="21">
        <f>J91</f>
        <v/>
      </c>
      <c r="G92" s="21">
        <f>MAX(0,C92-F92)</f>
        <v/>
      </c>
      <c r="H92" s="21">
        <f>G92*Inputs!$B$10</f>
        <v/>
      </c>
      <c r="I92" s="21">
        <f>F92*Inputs!$B$9</f>
        <v/>
      </c>
      <c r="J92" s="21">
        <f>MAX(0,F92+H92-I92)</f>
        <v/>
      </c>
      <c r="K92" s="23">
        <f>IF(C92&gt;0,J92/C92,0)</f>
        <v/>
      </c>
      <c r="L92" s="24">
        <f>J92*D92</f>
        <v/>
      </c>
      <c r="M92" s="24">
        <f>G92*E92</f>
        <v/>
      </c>
      <c r="N92" s="24">
        <f>L92+M92</f>
        <v/>
      </c>
      <c r="O92" s="23">
        <f>IF(N92&gt;0,L92/N92,0)</f>
        <v/>
      </c>
      <c r="P92" s="25">
        <f>IF(K92&lt;0.20,5.0,IF(K92&lt;0.30,5.5,IF(K92&lt;0.40,6.5,7.5)))</f>
        <v/>
      </c>
      <c r="Q92" s="25">
        <f>IF(K92&lt;0.20,5.5,IF(K92&lt;0.30,6.0,IF(K92&lt;0.40,7.0,8.5)))</f>
        <v/>
      </c>
    </row>
    <row r="93">
      <c r="A93" s="26" t="n">
        <v>92</v>
      </c>
      <c r="B93" s="26">
        <f>INT((A93-1)/12)+1</f>
        <v/>
      </c>
      <c r="C93" s="27">
        <f>Inputs!$B$4*(1+Inputs!$B$5)^INT((A93-1)/12)</f>
        <v/>
      </c>
      <c r="D93" s="28">
        <f>Inputs!$B$11*(1+Inputs!$B$12)^INT((A93-1)/12)</f>
        <v/>
      </c>
      <c r="E93" s="28">
        <f>Inputs!$B$15*(1+Inputs!$B$16)^INT((A93-1)/12)</f>
        <v/>
      </c>
      <c r="F93" s="27">
        <f>J92</f>
        <v/>
      </c>
      <c r="G93" s="27">
        <f>MAX(0,C93-F93)</f>
        <v/>
      </c>
      <c r="H93" s="27">
        <f>G93*Inputs!$B$10</f>
        <v/>
      </c>
      <c r="I93" s="27">
        <f>F93*Inputs!$B$9</f>
        <v/>
      </c>
      <c r="J93" s="27">
        <f>MAX(0,F93+H93-I93)</f>
        <v/>
      </c>
      <c r="K93" s="29">
        <f>IF(C93&gt;0,J93/C93,0)</f>
        <v/>
      </c>
      <c r="L93" s="30">
        <f>J93*D93</f>
        <v/>
      </c>
      <c r="M93" s="30">
        <f>G93*E93</f>
        <v/>
      </c>
      <c r="N93" s="30">
        <f>L93+M93</f>
        <v/>
      </c>
      <c r="O93" s="29">
        <f>IF(N93&gt;0,L93/N93,0)</f>
        <v/>
      </c>
      <c r="P93" s="31">
        <f>IF(K93&lt;0.20,5.0,IF(K93&lt;0.30,5.5,IF(K93&lt;0.40,6.5,7.5)))</f>
        <v/>
      </c>
      <c r="Q93" s="31">
        <f>IF(K93&lt;0.20,5.5,IF(K93&lt;0.30,6.0,IF(K93&lt;0.40,7.0,8.5)))</f>
        <v/>
      </c>
    </row>
    <row r="94">
      <c r="A94" s="20" t="n">
        <v>93</v>
      </c>
      <c r="B94" s="20">
        <f>INT((A94-1)/12)+1</f>
        <v/>
      </c>
      <c r="C94" s="21">
        <f>Inputs!$B$4*(1+Inputs!$B$5)^INT((A94-1)/12)</f>
        <v/>
      </c>
      <c r="D94" s="22">
        <f>Inputs!$B$11*(1+Inputs!$B$12)^INT((A94-1)/12)</f>
        <v/>
      </c>
      <c r="E94" s="22">
        <f>Inputs!$B$15*(1+Inputs!$B$16)^INT((A94-1)/12)</f>
        <v/>
      </c>
      <c r="F94" s="21">
        <f>J93</f>
        <v/>
      </c>
      <c r="G94" s="21">
        <f>MAX(0,C94-F94)</f>
        <v/>
      </c>
      <c r="H94" s="21">
        <f>G94*Inputs!$B$10</f>
        <v/>
      </c>
      <c r="I94" s="21">
        <f>F94*Inputs!$B$9</f>
        <v/>
      </c>
      <c r="J94" s="21">
        <f>MAX(0,F94+H94-I94)</f>
        <v/>
      </c>
      <c r="K94" s="23">
        <f>IF(C94&gt;0,J94/C94,0)</f>
        <v/>
      </c>
      <c r="L94" s="24">
        <f>J94*D94</f>
        <v/>
      </c>
      <c r="M94" s="24">
        <f>G94*E94</f>
        <v/>
      </c>
      <c r="N94" s="24">
        <f>L94+M94</f>
        <v/>
      </c>
      <c r="O94" s="23">
        <f>IF(N94&gt;0,L94/N94,0)</f>
        <v/>
      </c>
      <c r="P94" s="25">
        <f>IF(K94&lt;0.20,5.0,IF(K94&lt;0.30,5.5,IF(K94&lt;0.40,6.5,7.5)))</f>
        <v/>
      </c>
      <c r="Q94" s="25">
        <f>IF(K94&lt;0.20,5.5,IF(K94&lt;0.30,6.0,IF(K94&lt;0.40,7.0,8.5)))</f>
        <v/>
      </c>
    </row>
    <row r="95">
      <c r="A95" s="26" t="n">
        <v>94</v>
      </c>
      <c r="B95" s="26">
        <f>INT((A95-1)/12)+1</f>
        <v/>
      </c>
      <c r="C95" s="27">
        <f>Inputs!$B$4*(1+Inputs!$B$5)^INT((A95-1)/12)</f>
        <v/>
      </c>
      <c r="D95" s="28">
        <f>Inputs!$B$11*(1+Inputs!$B$12)^INT((A95-1)/12)</f>
        <v/>
      </c>
      <c r="E95" s="28">
        <f>Inputs!$B$15*(1+Inputs!$B$16)^INT((A95-1)/12)</f>
        <v/>
      </c>
      <c r="F95" s="27">
        <f>J94</f>
        <v/>
      </c>
      <c r="G95" s="27">
        <f>MAX(0,C95-F95)</f>
        <v/>
      </c>
      <c r="H95" s="27">
        <f>G95*Inputs!$B$10</f>
        <v/>
      </c>
      <c r="I95" s="27">
        <f>F95*Inputs!$B$9</f>
        <v/>
      </c>
      <c r="J95" s="27">
        <f>MAX(0,F95+H95-I95)</f>
        <v/>
      </c>
      <c r="K95" s="29">
        <f>IF(C95&gt;0,J95/C95,0)</f>
        <v/>
      </c>
      <c r="L95" s="30">
        <f>J95*D95</f>
        <v/>
      </c>
      <c r="M95" s="30">
        <f>G95*E95</f>
        <v/>
      </c>
      <c r="N95" s="30">
        <f>L95+M95</f>
        <v/>
      </c>
      <c r="O95" s="29">
        <f>IF(N95&gt;0,L95/N95,0)</f>
        <v/>
      </c>
      <c r="P95" s="31">
        <f>IF(K95&lt;0.20,5.0,IF(K95&lt;0.30,5.5,IF(K95&lt;0.40,6.5,7.5)))</f>
        <v/>
      </c>
      <c r="Q95" s="31">
        <f>IF(K95&lt;0.20,5.5,IF(K95&lt;0.30,6.0,IF(K95&lt;0.40,7.0,8.5)))</f>
        <v/>
      </c>
    </row>
    <row r="96">
      <c r="A96" s="20" t="n">
        <v>95</v>
      </c>
      <c r="B96" s="20">
        <f>INT((A96-1)/12)+1</f>
        <v/>
      </c>
      <c r="C96" s="21">
        <f>Inputs!$B$4*(1+Inputs!$B$5)^INT((A96-1)/12)</f>
        <v/>
      </c>
      <c r="D96" s="22">
        <f>Inputs!$B$11*(1+Inputs!$B$12)^INT((A96-1)/12)</f>
        <v/>
      </c>
      <c r="E96" s="22">
        <f>Inputs!$B$15*(1+Inputs!$B$16)^INT((A96-1)/12)</f>
        <v/>
      </c>
      <c r="F96" s="21">
        <f>J95</f>
        <v/>
      </c>
      <c r="G96" s="21">
        <f>MAX(0,C96-F96)</f>
        <v/>
      </c>
      <c r="H96" s="21">
        <f>G96*Inputs!$B$10</f>
        <v/>
      </c>
      <c r="I96" s="21">
        <f>F96*Inputs!$B$9</f>
        <v/>
      </c>
      <c r="J96" s="21">
        <f>MAX(0,F96+H96-I96)</f>
        <v/>
      </c>
      <c r="K96" s="23">
        <f>IF(C96&gt;0,J96/C96,0)</f>
        <v/>
      </c>
      <c r="L96" s="24">
        <f>J96*D96</f>
        <v/>
      </c>
      <c r="M96" s="24">
        <f>G96*E96</f>
        <v/>
      </c>
      <c r="N96" s="24">
        <f>L96+M96</f>
        <v/>
      </c>
      <c r="O96" s="23">
        <f>IF(N96&gt;0,L96/N96,0)</f>
        <v/>
      </c>
      <c r="P96" s="25">
        <f>IF(K96&lt;0.20,5.0,IF(K96&lt;0.30,5.5,IF(K96&lt;0.40,6.5,7.5)))</f>
        <v/>
      </c>
      <c r="Q96" s="25">
        <f>IF(K96&lt;0.20,5.5,IF(K96&lt;0.30,6.0,IF(K96&lt;0.40,7.0,8.5)))</f>
        <v/>
      </c>
    </row>
    <row r="97">
      <c r="A97" s="26" t="n">
        <v>96</v>
      </c>
      <c r="B97" s="26">
        <f>INT((A97-1)/12)+1</f>
        <v/>
      </c>
      <c r="C97" s="27">
        <f>Inputs!$B$4*(1+Inputs!$B$5)^INT((A97-1)/12)</f>
        <v/>
      </c>
      <c r="D97" s="28">
        <f>Inputs!$B$11*(1+Inputs!$B$12)^INT((A97-1)/12)</f>
        <v/>
      </c>
      <c r="E97" s="28">
        <f>Inputs!$B$15*(1+Inputs!$B$16)^INT((A97-1)/12)</f>
        <v/>
      </c>
      <c r="F97" s="27">
        <f>J96</f>
        <v/>
      </c>
      <c r="G97" s="27">
        <f>MAX(0,C97-F97)</f>
        <v/>
      </c>
      <c r="H97" s="27">
        <f>G97*Inputs!$B$10</f>
        <v/>
      </c>
      <c r="I97" s="27">
        <f>F97*Inputs!$B$9</f>
        <v/>
      </c>
      <c r="J97" s="27">
        <f>MAX(0,F97+H97-I97)</f>
        <v/>
      </c>
      <c r="K97" s="29">
        <f>IF(C97&gt;0,J97/C97,0)</f>
        <v/>
      </c>
      <c r="L97" s="30">
        <f>J97*D97</f>
        <v/>
      </c>
      <c r="M97" s="30">
        <f>G97*E97</f>
        <v/>
      </c>
      <c r="N97" s="30">
        <f>L97+M97</f>
        <v/>
      </c>
      <c r="O97" s="29">
        <f>IF(N97&gt;0,L97/N97,0)</f>
        <v/>
      </c>
      <c r="P97" s="31">
        <f>IF(K97&lt;0.20,5.0,IF(K97&lt;0.30,5.5,IF(K97&lt;0.40,6.5,7.5)))</f>
        <v/>
      </c>
      <c r="Q97" s="31">
        <f>IF(K97&lt;0.20,5.5,IF(K97&lt;0.30,6.0,IF(K97&lt;0.40,7.0,8.5)))</f>
        <v/>
      </c>
    </row>
    <row r="98">
      <c r="A98" s="20" t="n">
        <v>97</v>
      </c>
      <c r="B98" s="20">
        <f>INT((A98-1)/12)+1</f>
        <v/>
      </c>
      <c r="C98" s="21">
        <f>Inputs!$B$4*(1+Inputs!$B$5)^INT((A98-1)/12)</f>
        <v/>
      </c>
      <c r="D98" s="22">
        <f>Inputs!$B$11*(1+Inputs!$B$12)^INT((A98-1)/12)</f>
        <v/>
      </c>
      <c r="E98" s="22">
        <f>Inputs!$B$15*(1+Inputs!$B$16)^INT((A98-1)/12)</f>
        <v/>
      </c>
      <c r="F98" s="21">
        <f>J97</f>
        <v/>
      </c>
      <c r="G98" s="21">
        <f>MAX(0,C98-F98)</f>
        <v/>
      </c>
      <c r="H98" s="21">
        <f>G98*Inputs!$B$10</f>
        <v/>
      </c>
      <c r="I98" s="21">
        <f>F98*Inputs!$B$9</f>
        <v/>
      </c>
      <c r="J98" s="21">
        <f>MAX(0,F98+H98-I98)</f>
        <v/>
      </c>
      <c r="K98" s="23">
        <f>IF(C98&gt;0,J98/C98,0)</f>
        <v/>
      </c>
      <c r="L98" s="24">
        <f>J98*D98</f>
        <v/>
      </c>
      <c r="M98" s="24">
        <f>G98*E98</f>
        <v/>
      </c>
      <c r="N98" s="24">
        <f>L98+M98</f>
        <v/>
      </c>
      <c r="O98" s="23">
        <f>IF(N98&gt;0,L98/N98,0)</f>
        <v/>
      </c>
      <c r="P98" s="25">
        <f>IF(K98&lt;0.20,5.0,IF(K98&lt;0.30,5.5,IF(K98&lt;0.40,6.5,7.5)))</f>
        <v/>
      </c>
      <c r="Q98" s="25">
        <f>IF(K98&lt;0.20,5.5,IF(K98&lt;0.30,6.0,IF(K98&lt;0.40,7.0,8.5)))</f>
        <v/>
      </c>
    </row>
    <row r="99">
      <c r="A99" s="26" t="n">
        <v>98</v>
      </c>
      <c r="B99" s="26">
        <f>INT((A99-1)/12)+1</f>
        <v/>
      </c>
      <c r="C99" s="27">
        <f>Inputs!$B$4*(1+Inputs!$B$5)^INT((A99-1)/12)</f>
        <v/>
      </c>
      <c r="D99" s="28">
        <f>Inputs!$B$11*(1+Inputs!$B$12)^INT((A99-1)/12)</f>
        <v/>
      </c>
      <c r="E99" s="28">
        <f>Inputs!$B$15*(1+Inputs!$B$16)^INT((A99-1)/12)</f>
        <v/>
      </c>
      <c r="F99" s="27">
        <f>J98</f>
        <v/>
      </c>
      <c r="G99" s="27">
        <f>MAX(0,C99-F99)</f>
        <v/>
      </c>
      <c r="H99" s="27">
        <f>G99*Inputs!$B$10</f>
        <v/>
      </c>
      <c r="I99" s="27">
        <f>F99*Inputs!$B$9</f>
        <v/>
      </c>
      <c r="J99" s="27">
        <f>MAX(0,F99+H99-I99)</f>
        <v/>
      </c>
      <c r="K99" s="29">
        <f>IF(C99&gt;0,J99/C99,0)</f>
        <v/>
      </c>
      <c r="L99" s="30">
        <f>J99*D99</f>
        <v/>
      </c>
      <c r="M99" s="30">
        <f>G99*E99</f>
        <v/>
      </c>
      <c r="N99" s="30">
        <f>L99+M99</f>
        <v/>
      </c>
      <c r="O99" s="29">
        <f>IF(N99&gt;0,L99/N99,0)</f>
        <v/>
      </c>
      <c r="P99" s="31">
        <f>IF(K99&lt;0.20,5.0,IF(K99&lt;0.30,5.5,IF(K99&lt;0.40,6.5,7.5)))</f>
        <v/>
      </c>
      <c r="Q99" s="31">
        <f>IF(K99&lt;0.20,5.5,IF(K99&lt;0.30,6.0,IF(K99&lt;0.40,7.0,8.5)))</f>
        <v/>
      </c>
    </row>
    <row r="100">
      <c r="A100" s="20" t="n">
        <v>99</v>
      </c>
      <c r="B100" s="20">
        <f>INT((A100-1)/12)+1</f>
        <v/>
      </c>
      <c r="C100" s="21">
        <f>Inputs!$B$4*(1+Inputs!$B$5)^INT((A100-1)/12)</f>
        <v/>
      </c>
      <c r="D100" s="22">
        <f>Inputs!$B$11*(1+Inputs!$B$12)^INT((A100-1)/12)</f>
        <v/>
      </c>
      <c r="E100" s="22">
        <f>Inputs!$B$15*(1+Inputs!$B$16)^INT((A100-1)/12)</f>
        <v/>
      </c>
      <c r="F100" s="21">
        <f>J99</f>
        <v/>
      </c>
      <c r="G100" s="21">
        <f>MAX(0,C100-F100)</f>
        <v/>
      </c>
      <c r="H100" s="21">
        <f>G100*Inputs!$B$10</f>
        <v/>
      </c>
      <c r="I100" s="21">
        <f>F100*Inputs!$B$9</f>
        <v/>
      </c>
      <c r="J100" s="21">
        <f>MAX(0,F100+H100-I100)</f>
        <v/>
      </c>
      <c r="K100" s="23">
        <f>IF(C100&gt;0,J100/C100,0)</f>
        <v/>
      </c>
      <c r="L100" s="24">
        <f>J100*D100</f>
        <v/>
      </c>
      <c r="M100" s="24">
        <f>G100*E100</f>
        <v/>
      </c>
      <c r="N100" s="24">
        <f>L100+M100</f>
        <v/>
      </c>
      <c r="O100" s="23">
        <f>IF(N100&gt;0,L100/N100,0)</f>
        <v/>
      </c>
      <c r="P100" s="25">
        <f>IF(K100&lt;0.20,5.0,IF(K100&lt;0.30,5.5,IF(K100&lt;0.40,6.5,7.5)))</f>
        <v/>
      </c>
      <c r="Q100" s="25">
        <f>IF(K100&lt;0.20,5.5,IF(K100&lt;0.30,6.0,IF(K100&lt;0.40,7.0,8.5)))</f>
        <v/>
      </c>
    </row>
    <row r="101">
      <c r="A101" s="26" t="n">
        <v>100</v>
      </c>
      <c r="B101" s="26">
        <f>INT((A101-1)/12)+1</f>
        <v/>
      </c>
      <c r="C101" s="27">
        <f>Inputs!$B$4*(1+Inputs!$B$5)^INT((A101-1)/12)</f>
        <v/>
      </c>
      <c r="D101" s="28">
        <f>Inputs!$B$11*(1+Inputs!$B$12)^INT((A101-1)/12)</f>
        <v/>
      </c>
      <c r="E101" s="28">
        <f>Inputs!$B$15*(1+Inputs!$B$16)^INT((A101-1)/12)</f>
        <v/>
      </c>
      <c r="F101" s="27">
        <f>J100</f>
        <v/>
      </c>
      <c r="G101" s="27">
        <f>MAX(0,C101-F101)</f>
        <v/>
      </c>
      <c r="H101" s="27">
        <f>G101*Inputs!$B$10</f>
        <v/>
      </c>
      <c r="I101" s="27">
        <f>F101*Inputs!$B$9</f>
        <v/>
      </c>
      <c r="J101" s="27">
        <f>MAX(0,F101+H101-I101)</f>
        <v/>
      </c>
      <c r="K101" s="29">
        <f>IF(C101&gt;0,J101/C101,0)</f>
        <v/>
      </c>
      <c r="L101" s="30">
        <f>J101*D101</f>
        <v/>
      </c>
      <c r="M101" s="30">
        <f>G101*E101</f>
        <v/>
      </c>
      <c r="N101" s="30">
        <f>L101+M101</f>
        <v/>
      </c>
      <c r="O101" s="29">
        <f>IF(N101&gt;0,L101/N101,0)</f>
        <v/>
      </c>
      <c r="P101" s="31">
        <f>IF(K101&lt;0.20,5.0,IF(K101&lt;0.30,5.5,IF(K101&lt;0.40,6.5,7.5)))</f>
        <v/>
      </c>
      <c r="Q101" s="31">
        <f>IF(K101&lt;0.20,5.5,IF(K101&lt;0.30,6.0,IF(K101&lt;0.40,7.0,8.5)))</f>
        <v/>
      </c>
    </row>
    <row r="102">
      <c r="A102" s="20" t="n">
        <v>101</v>
      </c>
      <c r="B102" s="20">
        <f>INT((A102-1)/12)+1</f>
        <v/>
      </c>
      <c r="C102" s="21">
        <f>Inputs!$B$4*(1+Inputs!$B$5)^INT((A102-1)/12)</f>
        <v/>
      </c>
      <c r="D102" s="22">
        <f>Inputs!$B$11*(1+Inputs!$B$12)^INT((A102-1)/12)</f>
        <v/>
      </c>
      <c r="E102" s="22">
        <f>Inputs!$B$15*(1+Inputs!$B$16)^INT((A102-1)/12)</f>
        <v/>
      </c>
      <c r="F102" s="21">
        <f>J101</f>
        <v/>
      </c>
      <c r="G102" s="21">
        <f>MAX(0,C102-F102)</f>
        <v/>
      </c>
      <c r="H102" s="21">
        <f>G102*Inputs!$B$10</f>
        <v/>
      </c>
      <c r="I102" s="21">
        <f>F102*Inputs!$B$9</f>
        <v/>
      </c>
      <c r="J102" s="21">
        <f>MAX(0,F102+H102-I102)</f>
        <v/>
      </c>
      <c r="K102" s="23">
        <f>IF(C102&gt;0,J102/C102,0)</f>
        <v/>
      </c>
      <c r="L102" s="24">
        <f>J102*D102</f>
        <v/>
      </c>
      <c r="M102" s="24">
        <f>G102*E102</f>
        <v/>
      </c>
      <c r="N102" s="24">
        <f>L102+M102</f>
        <v/>
      </c>
      <c r="O102" s="23">
        <f>IF(N102&gt;0,L102/N102,0)</f>
        <v/>
      </c>
      <c r="P102" s="25">
        <f>IF(K102&lt;0.20,5.0,IF(K102&lt;0.30,5.5,IF(K102&lt;0.40,6.5,7.5)))</f>
        <v/>
      </c>
      <c r="Q102" s="25">
        <f>IF(K102&lt;0.20,5.5,IF(K102&lt;0.30,6.0,IF(K102&lt;0.40,7.0,8.5)))</f>
        <v/>
      </c>
    </row>
    <row r="103">
      <c r="A103" s="26" t="n">
        <v>102</v>
      </c>
      <c r="B103" s="26">
        <f>INT((A103-1)/12)+1</f>
        <v/>
      </c>
      <c r="C103" s="27">
        <f>Inputs!$B$4*(1+Inputs!$B$5)^INT((A103-1)/12)</f>
        <v/>
      </c>
      <c r="D103" s="28">
        <f>Inputs!$B$11*(1+Inputs!$B$12)^INT((A103-1)/12)</f>
        <v/>
      </c>
      <c r="E103" s="28">
        <f>Inputs!$B$15*(1+Inputs!$B$16)^INT((A103-1)/12)</f>
        <v/>
      </c>
      <c r="F103" s="27">
        <f>J102</f>
        <v/>
      </c>
      <c r="G103" s="27">
        <f>MAX(0,C103-F103)</f>
        <v/>
      </c>
      <c r="H103" s="27">
        <f>G103*Inputs!$B$10</f>
        <v/>
      </c>
      <c r="I103" s="27">
        <f>F103*Inputs!$B$9</f>
        <v/>
      </c>
      <c r="J103" s="27">
        <f>MAX(0,F103+H103-I103)</f>
        <v/>
      </c>
      <c r="K103" s="29">
        <f>IF(C103&gt;0,J103/C103,0)</f>
        <v/>
      </c>
      <c r="L103" s="30">
        <f>J103*D103</f>
        <v/>
      </c>
      <c r="M103" s="30">
        <f>G103*E103</f>
        <v/>
      </c>
      <c r="N103" s="30">
        <f>L103+M103</f>
        <v/>
      </c>
      <c r="O103" s="29">
        <f>IF(N103&gt;0,L103/N103,0)</f>
        <v/>
      </c>
      <c r="P103" s="31">
        <f>IF(K103&lt;0.20,5.0,IF(K103&lt;0.30,5.5,IF(K103&lt;0.40,6.5,7.5)))</f>
        <v/>
      </c>
      <c r="Q103" s="31">
        <f>IF(K103&lt;0.20,5.5,IF(K103&lt;0.30,6.0,IF(K103&lt;0.40,7.0,8.5)))</f>
        <v/>
      </c>
    </row>
    <row r="104">
      <c r="A104" s="20" t="n">
        <v>103</v>
      </c>
      <c r="B104" s="20">
        <f>INT((A104-1)/12)+1</f>
        <v/>
      </c>
      <c r="C104" s="21">
        <f>Inputs!$B$4*(1+Inputs!$B$5)^INT((A104-1)/12)</f>
        <v/>
      </c>
      <c r="D104" s="22">
        <f>Inputs!$B$11*(1+Inputs!$B$12)^INT((A104-1)/12)</f>
        <v/>
      </c>
      <c r="E104" s="22">
        <f>Inputs!$B$15*(1+Inputs!$B$16)^INT((A104-1)/12)</f>
        <v/>
      </c>
      <c r="F104" s="21">
        <f>J103</f>
        <v/>
      </c>
      <c r="G104" s="21">
        <f>MAX(0,C104-F104)</f>
        <v/>
      </c>
      <c r="H104" s="21">
        <f>G104*Inputs!$B$10</f>
        <v/>
      </c>
      <c r="I104" s="21">
        <f>F104*Inputs!$B$9</f>
        <v/>
      </c>
      <c r="J104" s="21">
        <f>MAX(0,F104+H104-I104)</f>
        <v/>
      </c>
      <c r="K104" s="23">
        <f>IF(C104&gt;0,J104/C104,0)</f>
        <v/>
      </c>
      <c r="L104" s="24">
        <f>J104*D104</f>
        <v/>
      </c>
      <c r="M104" s="24">
        <f>G104*E104</f>
        <v/>
      </c>
      <c r="N104" s="24">
        <f>L104+M104</f>
        <v/>
      </c>
      <c r="O104" s="23">
        <f>IF(N104&gt;0,L104/N104,0)</f>
        <v/>
      </c>
      <c r="P104" s="25">
        <f>IF(K104&lt;0.20,5.0,IF(K104&lt;0.30,5.5,IF(K104&lt;0.40,6.5,7.5)))</f>
        <v/>
      </c>
      <c r="Q104" s="25">
        <f>IF(K104&lt;0.20,5.5,IF(K104&lt;0.30,6.0,IF(K104&lt;0.40,7.0,8.5)))</f>
        <v/>
      </c>
    </row>
    <row r="105">
      <c r="A105" s="26" t="n">
        <v>104</v>
      </c>
      <c r="B105" s="26">
        <f>INT((A105-1)/12)+1</f>
        <v/>
      </c>
      <c r="C105" s="27">
        <f>Inputs!$B$4*(1+Inputs!$B$5)^INT((A105-1)/12)</f>
        <v/>
      </c>
      <c r="D105" s="28">
        <f>Inputs!$B$11*(1+Inputs!$B$12)^INT((A105-1)/12)</f>
        <v/>
      </c>
      <c r="E105" s="28">
        <f>Inputs!$B$15*(1+Inputs!$B$16)^INT((A105-1)/12)</f>
        <v/>
      </c>
      <c r="F105" s="27">
        <f>J104</f>
        <v/>
      </c>
      <c r="G105" s="27">
        <f>MAX(0,C105-F105)</f>
        <v/>
      </c>
      <c r="H105" s="27">
        <f>G105*Inputs!$B$10</f>
        <v/>
      </c>
      <c r="I105" s="27">
        <f>F105*Inputs!$B$9</f>
        <v/>
      </c>
      <c r="J105" s="27">
        <f>MAX(0,F105+H105-I105)</f>
        <v/>
      </c>
      <c r="K105" s="29">
        <f>IF(C105&gt;0,J105/C105,0)</f>
        <v/>
      </c>
      <c r="L105" s="30">
        <f>J105*D105</f>
        <v/>
      </c>
      <c r="M105" s="30">
        <f>G105*E105</f>
        <v/>
      </c>
      <c r="N105" s="30">
        <f>L105+M105</f>
        <v/>
      </c>
      <c r="O105" s="29">
        <f>IF(N105&gt;0,L105/N105,0)</f>
        <v/>
      </c>
      <c r="P105" s="31">
        <f>IF(K105&lt;0.20,5.0,IF(K105&lt;0.30,5.5,IF(K105&lt;0.40,6.5,7.5)))</f>
        <v/>
      </c>
      <c r="Q105" s="31">
        <f>IF(K105&lt;0.20,5.5,IF(K105&lt;0.30,6.0,IF(K105&lt;0.40,7.0,8.5)))</f>
        <v/>
      </c>
    </row>
    <row r="106">
      <c r="A106" s="20" t="n">
        <v>105</v>
      </c>
      <c r="B106" s="20">
        <f>INT((A106-1)/12)+1</f>
        <v/>
      </c>
      <c r="C106" s="21">
        <f>Inputs!$B$4*(1+Inputs!$B$5)^INT((A106-1)/12)</f>
        <v/>
      </c>
      <c r="D106" s="22">
        <f>Inputs!$B$11*(1+Inputs!$B$12)^INT((A106-1)/12)</f>
        <v/>
      </c>
      <c r="E106" s="22">
        <f>Inputs!$B$15*(1+Inputs!$B$16)^INT((A106-1)/12)</f>
        <v/>
      </c>
      <c r="F106" s="21">
        <f>J105</f>
        <v/>
      </c>
      <c r="G106" s="21">
        <f>MAX(0,C106-F106)</f>
        <v/>
      </c>
      <c r="H106" s="21">
        <f>G106*Inputs!$B$10</f>
        <v/>
      </c>
      <c r="I106" s="21">
        <f>F106*Inputs!$B$9</f>
        <v/>
      </c>
      <c r="J106" s="21">
        <f>MAX(0,F106+H106-I106)</f>
        <v/>
      </c>
      <c r="K106" s="23">
        <f>IF(C106&gt;0,J106/C106,0)</f>
        <v/>
      </c>
      <c r="L106" s="24">
        <f>J106*D106</f>
        <v/>
      </c>
      <c r="M106" s="24">
        <f>G106*E106</f>
        <v/>
      </c>
      <c r="N106" s="24">
        <f>L106+M106</f>
        <v/>
      </c>
      <c r="O106" s="23">
        <f>IF(N106&gt;0,L106/N106,0)</f>
        <v/>
      </c>
      <c r="P106" s="25">
        <f>IF(K106&lt;0.20,5.0,IF(K106&lt;0.30,5.5,IF(K106&lt;0.40,6.5,7.5)))</f>
        <v/>
      </c>
      <c r="Q106" s="25">
        <f>IF(K106&lt;0.20,5.5,IF(K106&lt;0.30,6.0,IF(K106&lt;0.40,7.0,8.5)))</f>
        <v/>
      </c>
    </row>
    <row r="107">
      <c r="A107" s="26" t="n">
        <v>106</v>
      </c>
      <c r="B107" s="26">
        <f>INT((A107-1)/12)+1</f>
        <v/>
      </c>
      <c r="C107" s="27">
        <f>Inputs!$B$4*(1+Inputs!$B$5)^INT((A107-1)/12)</f>
        <v/>
      </c>
      <c r="D107" s="28">
        <f>Inputs!$B$11*(1+Inputs!$B$12)^INT((A107-1)/12)</f>
        <v/>
      </c>
      <c r="E107" s="28">
        <f>Inputs!$B$15*(1+Inputs!$B$16)^INT((A107-1)/12)</f>
        <v/>
      </c>
      <c r="F107" s="27">
        <f>J106</f>
        <v/>
      </c>
      <c r="G107" s="27">
        <f>MAX(0,C107-F107)</f>
        <v/>
      </c>
      <c r="H107" s="27">
        <f>G107*Inputs!$B$10</f>
        <v/>
      </c>
      <c r="I107" s="27">
        <f>F107*Inputs!$B$9</f>
        <v/>
      </c>
      <c r="J107" s="27">
        <f>MAX(0,F107+H107-I107)</f>
        <v/>
      </c>
      <c r="K107" s="29">
        <f>IF(C107&gt;0,J107/C107,0)</f>
        <v/>
      </c>
      <c r="L107" s="30">
        <f>J107*D107</f>
        <v/>
      </c>
      <c r="M107" s="30">
        <f>G107*E107</f>
        <v/>
      </c>
      <c r="N107" s="30">
        <f>L107+M107</f>
        <v/>
      </c>
      <c r="O107" s="29">
        <f>IF(N107&gt;0,L107/N107,0)</f>
        <v/>
      </c>
      <c r="P107" s="31">
        <f>IF(K107&lt;0.20,5.0,IF(K107&lt;0.30,5.5,IF(K107&lt;0.40,6.5,7.5)))</f>
        <v/>
      </c>
      <c r="Q107" s="31">
        <f>IF(K107&lt;0.20,5.5,IF(K107&lt;0.30,6.0,IF(K107&lt;0.40,7.0,8.5)))</f>
        <v/>
      </c>
    </row>
    <row r="108">
      <c r="A108" s="20" t="n">
        <v>107</v>
      </c>
      <c r="B108" s="20">
        <f>INT((A108-1)/12)+1</f>
        <v/>
      </c>
      <c r="C108" s="21">
        <f>Inputs!$B$4*(1+Inputs!$B$5)^INT((A108-1)/12)</f>
        <v/>
      </c>
      <c r="D108" s="22">
        <f>Inputs!$B$11*(1+Inputs!$B$12)^INT((A108-1)/12)</f>
        <v/>
      </c>
      <c r="E108" s="22">
        <f>Inputs!$B$15*(1+Inputs!$B$16)^INT((A108-1)/12)</f>
        <v/>
      </c>
      <c r="F108" s="21">
        <f>J107</f>
        <v/>
      </c>
      <c r="G108" s="21">
        <f>MAX(0,C108-F108)</f>
        <v/>
      </c>
      <c r="H108" s="21">
        <f>G108*Inputs!$B$10</f>
        <v/>
      </c>
      <c r="I108" s="21">
        <f>F108*Inputs!$B$9</f>
        <v/>
      </c>
      <c r="J108" s="21">
        <f>MAX(0,F108+H108-I108)</f>
        <v/>
      </c>
      <c r="K108" s="23">
        <f>IF(C108&gt;0,J108/C108,0)</f>
        <v/>
      </c>
      <c r="L108" s="24">
        <f>J108*D108</f>
        <v/>
      </c>
      <c r="M108" s="24">
        <f>G108*E108</f>
        <v/>
      </c>
      <c r="N108" s="24">
        <f>L108+M108</f>
        <v/>
      </c>
      <c r="O108" s="23">
        <f>IF(N108&gt;0,L108/N108,0)</f>
        <v/>
      </c>
      <c r="P108" s="25">
        <f>IF(K108&lt;0.20,5.0,IF(K108&lt;0.30,5.5,IF(K108&lt;0.40,6.5,7.5)))</f>
        <v/>
      </c>
      <c r="Q108" s="25">
        <f>IF(K108&lt;0.20,5.5,IF(K108&lt;0.30,6.0,IF(K108&lt;0.40,7.0,8.5)))</f>
        <v/>
      </c>
    </row>
    <row r="109">
      <c r="A109" s="26" t="n">
        <v>108</v>
      </c>
      <c r="B109" s="26">
        <f>INT((A109-1)/12)+1</f>
        <v/>
      </c>
      <c r="C109" s="27">
        <f>Inputs!$B$4*(1+Inputs!$B$5)^INT((A109-1)/12)</f>
        <v/>
      </c>
      <c r="D109" s="28">
        <f>Inputs!$B$11*(1+Inputs!$B$12)^INT((A109-1)/12)</f>
        <v/>
      </c>
      <c r="E109" s="28">
        <f>Inputs!$B$15*(1+Inputs!$B$16)^INT((A109-1)/12)</f>
        <v/>
      </c>
      <c r="F109" s="27">
        <f>J108</f>
        <v/>
      </c>
      <c r="G109" s="27">
        <f>MAX(0,C109-F109)</f>
        <v/>
      </c>
      <c r="H109" s="27">
        <f>G109*Inputs!$B$10</f>
        <v/>
      </c>
      <c r="I109" s="27">
        <f>F109*Inputs!$B$9</f>
        <v/>
      </c>
      <c r="J109" s="27">
        <f>MAX(0,F109+H109-I109)</f>
        <v/>
      </c>
      <c r="K109" s="29">
        <f>IF(C109&gt;0,J109/C109,0)</f>
        <v/>
      </c>
      <c r="L109" s="30">
        <f>J109*D109</f>
        <v/>
      </c>
      <c r="M109" s="30">
        <f>G109*E109</f>
        <v/>
      </c>
      <c r="N109" s="30">
        <f>L109+M109</f>
        <v/>
      </c>
      <c r="O109" s="29">
        <f>IF(N109&gt;0,L109/N109,0)</f>
        <v/>
      </c>
      <c r="P109" s="31">
        <f>IF(K109&lt;0.20,5.0,IF(K109&lt;0.30,5.5,IF(K109&lt;0.40,6.5,7.5)))</f>
        <v/>
      </c>
      <c r="Q109" s="31">
        <f>IF(K109&lt;0.20,5.5,IF(K109&lt;0.30,6.0,IF(K109&lt;0.40,7.0,8.5)))</f>
        <v/>
      </c>
    </row>
    <row r="110">
      <c r="A110" s="20" t="n">
        <v>109</v>
      </c>
      <c r="B110" s="20">
        <f>INT((A110-1)/12)+1</f>
        <v/>
      </c>
      <c r="C110" s="21">
        <f>Inputs!$B$4*(1+Inputs!$B$5)^INT((A110-1)/12)</f>
        <v/>
      </c>
      <c r="D110" s="22">
        <f>Inputs!$B$11*(1+Inputs!$B$12)^INT((A110-1)/12)</f>
        <v/>
      </c>
      <c r="E110" s="22">
        <f>Inputs!$B$15*(1+Inputs!$B$16)^INT((A110-1)/12)</f>
        <v/>
      </c>
      <c r="F110" s="21">
        <f>J109</f>
        <v/>
      </c>
      <c r="G110" s="21">
        <f>MAX(0,C110-F110)</f>
        <v/>
      </c>
      <c r="H110" s="21">
        <f>G110*Inputs!$B$10</f>
        <v/>
      </c>
      <c r="I110" s="21">
        <f>F110*Inputs!$B$9</f>
        <v/>
      </c>
      <c r="J110" s="21">
        <f>MAX(0,F110+H110-I110)</f>
        <v/>
      </c>
      <c r="K110" s="23">
        <f>IF(C110&gt;0,J110/C110,0)</f>
        <v/>
      </c>
      <c r="L110" s="24">
        <f>J110*D110</f>
        <v/>
      </c>
      <c r="M110" s="24">
        <f>G110*E110</f>
        <v/>
      </c>
      <c r="N110" s="24">
        <f>L110+M110</f>
        <v/>
      </c>
      <c r="O110" s="23">
        <f>IF(N110&gt;0,L110/N110,0)</f>
        <v/>
      </c>
      <c r="P110" s="25">
        <f>IF(K110&lt;0.20,5.0,IF(K110&lt;0.30,5.5,IF(K110&lt;0.40,6.5,7.5)))</f>
        <v/>
      </c>
      <c r="Q110" s="25">
        <f>IF(K110&lt;0.20,5.5,IF(K110&lt;0.30,6.0,IF(K110&lt;0.40,7.0,8.5)))</f>
        <v/>
      </c>
    </row>
    <row r="111">
      <c r="A111" s="26" t="n">
        <v>110</v>
      </c>
      <c r="B111" s="26">
        <f>INT((A111-1)/12)+1</f>
        <v/>
      </c>
      <c r="C111" s="27">
        <f>Inputs!$B$4*(1+Inputs!$B$5)^INT((A111-1)/12)</f>
        <v/>
      </c>
      <c r="D111" s="28">
        <f>Inputs!$B$11*(1+Inputs!$B$12)^INT((A111-1)/12)</f>
        <v/>
      </c>
      <c r="E111" s="28">
        <f>Inputs!$B$15*(1+Inputs!$B$16)^INT((A111-1)/12)</f>
        <v/>
      </c>
      <c r="F111" s="27">
        <f>J110</f>
        <v/>
      </c>
      <c r="G111" s="27">
        <f>MAX(0,C111-F111)</f>
        <v/>
      </c>
      <c r="H111" s="27">
        <f>G111*Inputs!$B$10</f>
        <v/>
      </c>
      <c r="I111" s="27">
        <f>F111*Inputs!$B$9</f>
        <v/>
      </c>
      <c r="J111" s="27">
        <f>MAX(0,F111+H111-I111)</f>
        <v/>
      </c>
      <c r="K111" s="29">
        <f>IF(C111&gt;0,J111/C111,0)</f>
        <v/>
      </c>
      <c r="L111" s="30">
        <f>J111*D111</f>
        <v/>
      </c>
      <c r="M111" s="30">
        <f>G111*E111</f>
        <v/>
      </c>
      <c r="N111" s="30">
        <f>L111+M111</f>
        <v/>
      </c>
      <c r="O111" s="29">
        <f>IF(N111&gt;0,L111/N111,0)</f>
        <v/>
      </c>
      <c r="P111" s="31">
        <f>IF(K111&lt;0.20,5.0,IF(K111&lt;0.30,5.5,IF(K111&lt;0.40,6.5,7.5)))</f>
        <v/>
      </c>
      <c r="Q111" s="31">
        <f>IF(K111&lt;0.20,5.5,IF(K111&lt;0.30,6.0,IF(K111&lt;0.40,7.0,8.5)))</f>
        <v/>
      </c>
    </row>
    <row r="112">
      <c r="A112" s="20" t="n">
        <v>111</v>
      </c>
      <c r="B112" s="20">
        <f>INT((A112-1)/12)+1</f>
        <v/>
      </c>
      <c r="C112" s="21">
        <f>Inputs!$B$4*(1+Inputs!$B$5)^INT((A112-1)/12)</f>
        <v/>
      </c>
      <c r="D112" s="22">
        <f>Inputs!$B$11*(1+Inputs!$B$12)^INT((A112-1)/12)</f>
        <v/>
      </c>
      <c r="E112" s="22">
        <f>Inputs!$B$15*(1+Inputs!$B$16)^INT((A112-1)/12)</f>
        <v/>
      </c>
      <c r="F112" s="21">
        <f>J111</f>
        <v/>
      </c>
      <c r="G112" s="21">
        <f>MAX(0,C112-F112)</f>
        <v/>
      </c>
      <c r="H112" s="21">
        <f>G112*Inputs!$B$10</f>
        <v/>
      </c>
      <c r="I112" s="21">
        <f>F112*Inputs!$B$9</f>
        <v/>
      </c>
      <c r="J112" s="21">
        <f>MAX(0,F112+H112-I112)</f>
        <v/>
      </c>
      <c r="K112" s="23">
        <f>IF(C112&gt;0,J112/C112,0)</f>
        <v/>
      </c>
      <c r="L112" s="24">
        <f>J112*D112</f>
        <v/>
      </c>
      <c r="M112" s="24">
        <f>G112*E112</f>
        <v/>
      </c>
      <c r="N112" s="24">
        <f>L112+M112</f>
        <v/>
      </c>
      <c r="O112" s="23">
        <f>IF(N112&gt;0,L112/N112,0)</f>
        <v/>
      </c>
      <c r="P112" s="25">
        <f>IF(K112&lt;0.20,5.0,IF(K112&lt;0.30,5.5,IF(K112&lt;0.40,6.5,7.5)))</f>
        <v/>
      </c>
      <c r="Q112" s="25">
        <f>IF(K112&lt;0.20,5.5,IF(K112&lt;0.30,6.0,IF(K112&lt;0.40,7.0,8.5)))</f>
        <v/>
      </c>
    </row>
    <row r="113">
      <c r="A113" s="26" t="n">
        <v>112</v>
      </c>
      <c r="B113" s="26">
        <f>INT((A113-1)/12)+1</f>
        <v/>
      </c>
      <c r="C113" s="27">
        <f>Inputs!$B$4*(1+Inputs!$B$5)^INT((A113-1)/12)</f>
        <v/>
      </c>
      <c r="D113" s="28">
        <f>Inputs!$B$11*(1+Inputs!$B$12)^INT((A113-1)/12)</f>
        <v/>
      </c>
      <c r="E113" s="28">
        <f>Inputs!$B$15*(1+Inputs!$B$16)^INT((A113-1)/12)</f>
        <v/>
      </c>
      <c r="F113" s="27">
        <f>J112</f>
        <v/>
      </c>
      <c r="G113" s="27">
        <f>MAX(0,C113-F113)</f>
        <v/>
      </c>
      <c r="H113" s="27">
        <f>G113*Inputs!$B$10</f>
        <v/>
      </c>
      <c r="I113" s="27">
        <f>F113*Inputs!$B$9</f>
        <v/>
      </c>
      <c r="J113" s="27">
        <f>MAX(0,F113+H113-I113)</f>
        <v/>
      </c>
      <c r="K113" s="29">
        <f>IF(C113&gt;0,J113/C113,0)</f>
        <v/>
      </c>
      <c r="L113" s="30">
        <f>J113*D113</f>
        <v/>
      </c>
      <c r="M113" s="30">
        <f>G113*E113</f>
        <v/>
      </c>
      <c r="N113" s="30">
        <f>L113+M113</f>
        <v/>
      </c>
      <c r="O113" s="29">
        <f>IF(N113&gt;0,L113/N113,0)</f>
        <v/>
      </c>
      <c r="P113" s="31">
        <f>IF(K113&lt;0.20,5.0,IF(K113&lt;0.30,5.5,IF(K113&lt;0.40,6.5,7.5)))</f>
        <v/>
      </c>
      <c r="Q113" s="31">
        <f>IF(K113&lt;0.20,5.5,IF(K113&lt;0.30,6.0,IF(K113&lt;0.40,7.0,8.5)))</f>
        <v/>
      </c>
    </row>
    <row r="114">
      <c r="A114" s="20" t="n">
        <v>113</v>
      </c>
      <c r="B114" s="20">
        <f>INT((A114-1)/12)+1</f>
        <v/>
      </c>
      <c r="C114" s="21">
        <f>Inputs!$B$4*(1+Inputs!$B$5)^INT((A114-1)/12)</f>
        <v/>
      </c>
      <c r="D114" s="22">
        <f>Inputs!$B$11*(1+Inputs!$B$12)^INT((A114-1)/12)</f>
        <v/>
      </c>
      <c r="E114" s="22">
        <f>Inputs!$B$15*(1+Inputs!$B$16)^INT((A114-1)/12)</f>
        <v/>
      </c>
      <c r="F114" s="21">
        <f>J113</f>
        <v/>
      </c>
      <c r="G114" s="21">
        <f>MAX(0,C114-F114)</f>
        <v/>
      </c>
      <c r="H114" s="21">
        <f>G114*Inputs!$B$10</f>
        <v/>
      </c>
      <c r="I114" s="21">
        <f>F114*Inputs!$B$9</f>
        <v/>
      </c>
      <c r="J114" s="21">
        <f>MAX(0,F114+H114-I114)</f>
        <v/>
      </c>
      <c r="K114" s="23">
        <f>IF(C114&gt;0,J114/C114,0)</f>
        <v/>
      </c>
      <c r="L114" s="24">
        <f>J114*D114</f>
        <v/>
      </c>
      <c r="M114" s="24">
        <f>G114*E114</f>
        <v/>
      </c>
      <c r="N114" s="24">
        <f>L114+M114</f>
        <v/>
      </c>
      <c r="O114" s="23">
        <f>IF(N114&gt;0,L114/N114,0)</f>
        <v/>
      </c>
      <c r="P114" s="25">
        <f>IF(K114&lt;0.20,5.0,IF(K114&lt;0.30,5.5,IF(K114&lt;0.40,6.5,7.5)))</f>
        <v/>
      </c>
      <c r="Q114" s="25">
        <f>IF(K114&lt;0.20,5.5,IF(K114&lt;0.30,6.0,IF(K114&lt;0.40,7.0,8.5)))</f>
        <v/>
      </c>
    </row>
    <row r="115">
      <c r="A115" s="26" t="n">
        <v>114</v>
      </c>
      <c r="B115" s="26">
        <f>INT((A115-1)/12)+1</f>
        <v/>
      </c>
      <c r="C115" s="27">
        <f>Inputs!$B$4*(1+Inputs!$B$5)^INT((A115-1)/12)</f>
        <v/>
      </c>
      <c r="D115" s="28">
        <f>Inputs!$B$11*(1+Inputs!$B$12)^INT((A115-1)/12)</f>
        <v/>
      </c>
      <c r="E115" s="28">
        <f>Inputs!$B$15*(1+Inputs!$B$16)^INT((A115-1)/12)</f>
        <v/>
      </c>
      <c r="F115" s="27">
        <f>J114</f>
        <v/>
      </c>
      <c r="G115" s="27">
        <f>MAX(0,C115-F115)</f>
        <v/>
      </c>
      <c r="H115" s="27">
        <f>G115*Inputs!$B$10</f>
        <v/>
      </c>
      <c r="I115" s="27">
        <f>F115*Inputs!$B$9</f>
        <v/>
      </c>
      <c r="J115" s="27">
        <f>MAX(0,F115+H115-I115)</f>
        <v/>
      </c>
      <c r="K115" s="29">
        <f>IF(C115&gt;0,J115/C115,0)</f>
        <v/>
      </c>
      <c r="L115" s="30">
        <f>J115*D115</f>
        <v/>
      </c>
      <c r="M115" s="30">
        <f>G115*E115</f>
        <v/>
      </c>
      <c r="N115" s="30">
        <f>L115+M115</f>
        <v/>
      </c>
      <c r="O115" s="29">
        <f>IF(N115&gt;0,L115/N115,0)</f>
        <v/>
      </c>
      <c r="P115" s="31">
        <f>IF(K115&lt;0.20,5.0,IF(K115&lt;0.30,5.5,IF(K115&lt;0.40,6.5,7.5)))</f>
        <v/>
      </c>
      <c r="Q115" s="31">
        <f>IF(K115&lt;0.20,5.5,IF(K115&lt;0.30,6.0,IF(K115&lt;0.40,7.0,8.5)))</f>
        <v/>
      </c>
    </row>
    <row r="116">
      <c r="A116" s="20" t="n">
        <v>115</v>
      </c>
      <c r="B116" s="20">
        <f>INT((A116-1)/12)+1</f>
        <v/>
      </c>
      <c r="C116" s="21">
        <f>Inputs!$B$4*(1+Inputs!$B$5)^INT((A116-1)/12)</f>
        <v/>
      </c>
      <c r="D116" s="22">
        <f>Inputs!$B$11*(1+Inputs!$B$12)^INT((A116-1)/12)</f>
        <v/>
      </c>
      <c r="E116" s="22">
        <f>Inputs!$B$15*(1+Inputs!$B$16)^INT((A116-1)/12)</f>
        <v/>
      </c>
      <c r="F116" s="21">
        <f>J115</f>
        <v/>
      </c>
      <c r="G116" s="21">
        <f>MAX(0,C116-F116)</f>
        <v/>
      </c>
      <c r="H116" s="21">
        <f>G116*Inputs!$B$10</f>
        <v/>
      </c>
      <c r="I116" s="21">
        <f>F116*Inputs!$B$9</f>
        <v/>
      </c>
      <c r="J116" s="21">
        <f>MAX(0,F116+H116-I116)</f>
        <v/>
      </c>
      <c r="K116" s="23">
        <f>IF(C116&gt;0,J116/C116,0)</f>
        <v/>
      </c>
      <c r="L116" s="24">
        <f>J116*D116</f>
        <v/>
      </c>
      <c r="M116" s="24">
        <f>G116*E116</f>
        <v/>
      </c>
      <c r="N116" s="24">
        <f>L116+M116</f>
        <v/>
      </c>
      <c r="O116" s="23">
        <f>IF(N116&gt;0,L116/N116,0)</f>
        <v/>
      </c>
      <c r="P116" s="25">
        <f>IF(K116&lt;0.20,5.0,IF(K116&lt;0.30,5.5,IF(K116&lt;0.40,6.5,7.5)))</f>
        <v/>
      </c>
      <c r="Q116" s="25">
        <f>IF(K116&lt;0.20,5.5,IF(K116&lt;0.30,6.0,IF(K116&lt;0.40,7.0,8.5)))</f>
        <v/>
      </c>
    </row>
    <row r="117">
      <c r="A117" s="26" t="n">
        <v>116</v>
      </c>
      <c r="B117" s="26">
        <f>INT((A117-1)/12)+1</f>
        <v/>
      </c>
      <c r="C117" s="27">
        <f>Inputs!$B$4*(1+Inputs!$B$5)^INT((A117-1)/12)</f>
        <v/>
      </c>
      <c r="D117" s="28">
        <f>Inputs!$B$11*(1+Inputs!$B$12)^INT((A117-1)/12)</f>
        <v/>
      </c>
      <c r="E117" s="28">
        <f>Inputs!$B$15*(1+Inputs!$B$16)^INT((A117-1)/12)</f>
        <v/>
      </c>
      <c r="F117" s="27">
        <f>J116</f>
        <v/>
      </c>
      <c r="G117" s="27">
        <f>MAX(0,C117-F117)</f>
        <v/>
      </c>
      <c r="H117" s="27">
        <f>G117*Inputs!$B$10</f>
        <v/>
      </c>
      <c r="I117" s="27">
        <f>F117*Inputs!$B$9</f>
        <v/>
      </c>
      <c r="J117" s="27">
        <f>MAX(0,F117+H117-I117)</f>
        <v/>
      </c>
      <c r="K117" s="29">
        <f>IF(C117&gt;0,J117/C117,0)</f>
        <v/>
      </c>
      <c r="L117" s="30">
        <f>J117*D117</f>
        <v/>
      </c>
      <c r="M117" s="30">
        <f>G117*E117</f>
        <v/>
      </c>
      <c r="N117" s="30">
        <f>L117+M117</f>
        <v/>
      </c>
      <c r="O117" s="29">
        <f>IF(N117&gt;0,L117/N117,0)</f>
        <v/>
      </c>
      <c r="P117" s="31">
        <f>IF(K117&lt;0.20,5.0,IF(K117&lt;0.30,5.5,IF(K117&lt;0.40,6.5,7.5)))</f>
        <v/>
      </c>
      <c r="Q117" s="31">
        <f>IF(K117&lt;0.20,5.5,IF(K117&lt;0.30,6.0,IF(K117&lt;0.40,7.0,8.5)))</f>
        <v/>
      </c>
    </row>
    <row r="118">
      <c r="A118" s="20" t="n">
        <v>117</v>
      </c>
      <c r="B118" s="20">
        <f>INT((A118-1)/12)+1</f>
        <v/>
      </c>
      <c r="C118" s="21">
        <f>Inputs!$B$4*(1+Inputs!$B$5)^INT((A118-1)/12)</f>
        <v/>
      </c>
      <c r="D118" s="22">
        <f>Inputs!$B$11*(1+Inputs!$B$12)^INT((A118-1)/12)</f>
        <v/>
      </c>
      <c r="E118" s="22">
        <f>Inputs!$B$15*(1+Inputs!$B$16)^INT((A118-1)/12)</f>
        <v/>
      </c>
      <c r="F118" s="21">
        <f>J117</f>
        <v/>
      </c>
      <c r="G118" s="21">
        <f>MAX(0,C118-F118)</f>
        <v/>
      </c>
      <c r="H118" s="21">
        <f>G118*Inputs!$B$10</f>
        <v/>
      </c>
      <c r="I118" s="21">
        <f>F118*Inputs!$B$9</f>
        <v/>
      </c>
      <c r="J118" s="21">
        <f>MAX(0,F118+H118-I118)</f>
        <v/>
      </c>
      <c r="K118" s="23">
        <f>IF(C118&gt;0,J118/C118,0)</f>
        <v/>
      </c>
      <c r="L118" s="24">
        <f>J118*D118</f>
        <v/>
      </c>
      <c r="M118" s="24">
        <f>G118*E118</f>
        <v/>
      </c>
      <c r="N118" s="24">
        <f>L118+M118</f>
        <v/>
      </c>
      <c r="O118" s="23">
        <f>IF(N118&gt;0,L118/N118,0)</f>
        <v/>
      </c>
      <c r="P118" s="25">
        <f>IF(K118&lt;0.20,5.0,IF(K118&lt;0.30,5.5,IF(K118&lt;0.40,6.5,7.5)))</f>
        <v/>
      </c>
      <c r="Q118" s="25">
        <f>IF(K118&lt;0.20,5.5,IF(K118&lt;0.30,6.0,IF(K118&lt;0.40,7.0,8.5)))</f>
        <v/>
      </c>
    </row>
    <row r="119">
      <c r="A119" s="26" t="n">
        <v>118</v>
      </c>
      <c r="B119" s="26">
        <f>INT((A119-1)/12)+1</f>
        <v/>
      </c>
      <c r="C119" s="27">
        <f>Inputs!$B$4*(1+Inputs!$B$5)^INT((A119-1)/12)</f>
        <v/>
      </c>
      <c r="D119" s="28">
        <f>Inputs!$B$11*(1+Inputs!$B$12)^INT((A119-1)/12)</f>
        <v/>
      </c>
      <c r="E119" s="28">
        <f>Inputs!$B$15*(1+Inputs!$B$16)^INT((A119-1)/12)</f>
        <v/>
      </c>
      <c r="F119" s="27">
        <f>J118</f>
        <v/>
      </c>
      <c r="G119" s="27">
        <f>MAX(0,C119-F119)</f>
        <v/>
      </c>
      <c r="H119" s="27">
        <f>G119*Inputs!$B$10</f>
        <v/>
      </c>
      <c r="I119" s="27">
        <f>F119*Inputs!$B$9</f>
        <v/>
      </c>
      <c r="J119" s="27">
        <f>MAX(0,F119+H119-I119)</f>
        <v/>
      </c>
      <c r="K119" s="29">
        <f>IF(C119&gt;0,J119/C119,0)</f>
        <v/>
      </c>
      <c r="L119" s="30">
        <f>J119*D119</f>
        <v/>
      </c>
      <c r="M119" s="30">
        <f>G119*E119</f>
        <v/>
      </c>
      <c r="N119" s="30">
        <f>L119+M119</f>
        <v/>
      </c>
      <c r="O119" s="29">
        <f>IF(N119&gt;0,L119/N119,0)</f>
        <v/>
      </c>
      <c r="P119" s="31">
        <f>IF(K119&lt;0.20,5.0,IF(K119&lt;0.30,5.5,IF(K119&lt;0.40,6.5,7.5)))</f>
        <v/>
      </c>
      <c r="Q119" s="31">
        <f>IF(K119&lt;0.20,5.5,IF(K119&lt;0.30,6.0,IF(K119&lt;0.40,7.0,8.5)))</f>
        <v/>
      </c>
    </row>
    <row r="120">
      <c r="A120" s="20" t="n">
        <v>119</v>
      </c>
      <c r="B120" s="20">
        <f>INT((A120-1)/12)+1</f>
        <v/>
      </c>
      <c r="C120" s="21">
        <f>Inputs!$B$4*(1+Inputs!$B$5)^INT((A120-1)/12)</f>
        <v/>
      </c>
      <c r="D120" s="22">
        <f>Inputs!$B$11*(1+Inputs!$B$12)^INT((A120-1)/12)</f>
        <v/>
      </c>
      <c r="E120" s="22">
        <f>Inputs!$B$15*(1+Inputs!$B$16)^INT((A120-1)/12)</f>
        <v/>
      </c>
      <c r="F120" s="21">
        <f>J119</f>
        <v/>
      </c>
      <c r="G120" s="21">
        <f>MAX(0,C120-F120)</f>
        <v/>
      </c>
      <c r="H120" s="21">
        <f>G120*Inputs!$B$10</f>
        <v/>
      </c>
      <c r="I120" s="21">
        <f>F120*Inputs!$B$9</f>
        <v/>
      </c>
      <c r="J120" s="21">
        <f>MAX(0,F120+H120-I120)</f>
        <v/>
      </c>
      <c r="K120" s="23">
        <f>IF(C120&gt;0,J120/C120,0)</f>
        <v/>
      </c>
      <c r="L120" s="24">
        <f>J120*D120</f>
        <v/>
      </c>
      <c r="M120" s="24">
        <f>G120*E120</f>
        <v/>
      </c>
      <c r="N120" s="24">
        <f>L120+M120</f>
        <v/>
      </c>
      <c r="O120" s="23">
        <f>IF(N120&gt;0,L120/N120,0)</f>
        <v/>
      </c>
      <c r="P120" s="25">
        <f>IF(K120&lt;0.20,5.0,IF(K120&lt;0.30,5.5,IF(K120&lt;0.40,6.5,7.5)))</f>
        <v/>
      </c>
      <c r="Q120" s="25">
        <f>IF(K120&lt;0.20,5.5,IF(K120&lt;0.30,6.0,IF(K120&lt;0.40,7.0,8.5)))</f>
        <v/>
      </c>
    </row>
    <row r="121">
      <c r="A121" s="26" t="n">
        <v>120</v>
      </c>
      <c r="B121" s="26">
        <f>INT((A121-1)/12)+1</f>
        <v/>
      </c>
      <c r="C121" s="27">
        <f>Inputs!$B$4*(1+Inputs!$B$5)^INT((A121-1)/12)</f>
        <v/>
      </c>
      <c r="D121" s="28">
        <f>Inputs!$B$11*(1+Inputs!$B$12)^INT((A121-1)/12)</f>
        <v/>
      </c>
      <c r="E121" s="28">
        <f>Inputs!$B$15*(1+Inputs!$B$16)^INT((A121-1)/12)</f>
        <v/>
      </c>
      <c r="F121" s="27">
        <f>J120</f>
        <v/>
      </c>
      <c r="G121" s="27">
        <f>MAX(0,C121-F121)</f>
        <v/>
      </c>
      <c r="H121" s="27">
        <f>G121*Inputs!$B$10</f>
        <v/>
      </c>
      <c r="I121" s="27">
        <f>F121*Inputs!$B$9</f>
        <v/>
      </c>
      <c r="J121" s="27">
        <f>MAX(0,F121+H121-I121)</f>
        <v/>
      </c>
      <c r="K121" s="29">
        <f>IF(C121&gt;0,J121/C121,0)</f>
        <v/>
      </c>
      <c r="L121" s="30">
        <f>J121*D121</f>
        <v/>
      </c>
      <c r="M121" s="30">
        <f>G121*E121</f>
        <v/>
      </c>
      <c r="N121" s="30">
        <f>L121+M121</f>
        <v/>
      </c>
      <c r="O121" s="29">
        <f>IF(N121&gt;0,L121/N121,0)</f>
        <v/>
      </c>
      <c r="P121" s="31">
        <f>IF(K121&lt;0.20,5.0,IF(K121&lt;0.30,5.5,IF(K121&lt;0.40,6.5,7.5)))</f>
        <v/>
      </c>
      <c r="Q121" s="31">
        <f>IF(K121&lt;0.20,5.5,IF(K121&lt;0.30,6.0,IF(K121&lt;0.40,7.0,8.5)))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6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</cols>
  <sheetData>
    <row r="1" ht="36" customHeight="1">
      <c r="A1" s="1" t="inlineStr">
        <is>
          <t>10-YEAR ANNUAL SUMMARY</t>
        </is>
      </c>
    </row>
    <row r="2" ht="18" customHeight="1">
      <c r="A2" s="2" t="inlineStr">
        <is>
          <t>All values formula-linked to Membership Engine tab · Change Inputs → this updates automatically</t>
        </is>
      </c>
    </row>
    <row r="3" ht="36" customHeight="1">
      <c r="A3" s="32" t="inlineStr">
        <is>
          <t>Year</t>
        </is>
      </c>
      <c r="B3" s="32" t="inlineStr">
        <is>
          <t>Member Revenue</t>
        </is>
      </c>
      <c r="C3" s="32" t="inlineStr">
        <is>
          <t>Retail Revenue</t>
        </is>
      </c>
      <c r="D3" s="32" t="inlineStr">
        <is>
          <t>Total Revenue</t>
        </is>
      </c>
      <c r="E3" s="32" t="inlineStr">
        <is>
          <t>Yr-End Members</t>
        </is>
      </c>
      <c r="F3" s="32" t="inlineStr">
        <is>
          <t>Yr-End Cars</t>
        </is>
      </c>
      <c r="G3" s="32" t="inlineStr">
        <is>
          <t>Yr-End Penetration</t>
        </is>
      </c>
      <c r="H3" s="32" t="inlineStr">
        <is>
          <t>EBITDA Mult Low</t>
        </is>
      </c>
      <c r="I3" s="32" t="inlineStr">
        <is>
          <t>EBITDA Mult High</t>
        </is>
      </c>
    </row>
    <row r="4" ht="22" customHeight="1">
      <c r="A4" s="33" t="n">
        <v>1</v>
      </c>
      <c r="B4" s="34">
        <f>SUMPRODUCT(('Membership Engine'!$B$2:'Membership Engine'!$B$121=1)*'Membership Engine'!$L$2:'Membership Engine'!$L$121)</f>
        <v/>
      </c>
      <c r="C4" s="34">
        <f>SUMPRODUCT(('Membership Engine'!$B$2:'Membership Engine'!$B$121=1)*'Membership Engine'!$M$2:'Membership Engine'!$M$121)</f>
        <v/>
      </c>
      <c r="D4" s="34">
        <f>SUMPRODUCT(('Membership Engine'!$B$2:'Membership Engine'!$B$121=1)*'Membership Engine'!$N$2:'Membership Engine'!$N$121)</f>
        <v/>
      </c>
      <c r="E4" s="35">
        <f>'Membership Engine'!J13</f>
        <v/>
      </c>
      <c r="F4" s="35">
        <f>'Membership Engine'!C13</f>
        <v/>
      </c>
      <c r="G4" s="36">
        <f>'Membership Engine'!K13</f>
        <v/>
      </c>
      <c r="H4" s="37">
        <f>'Membership Engine'!P13</f>
        <v/>
      </c>
      <c r="I4" s="37">
        <f>'Membership Engine'!Q13</f>
        <v/>
      </c>
    </row>
    <row r="5" ht="22" customHeight="1">
      <c r="A5" s="38" t="n">
        <v>2</v>
      </c>
      <c r="B5" s="39">
        <f>SUMPRODUCT(('Membership Engine'!$B$2:'Membership Engine'!$B$121=2)*'Membership Engine'!$L$2:'Membership Engine'!$L$121)</f>
        <v/>
      </c>
      <c r="C5" s="39">
        <f>SUMPRODUCT(('Membership Engine'!$B$2:'Membership Engine'!$B$121=2)*'Membership Engine'!$M$2:'Membership Engine'!$M$121)</f>
        <v/>
      </c>
      <c r="D5" s="39">
        <f>SUMPRODUCT(('Membership Engine'!$B$2:'Membership Engine'!$B$121=2)*'Membership Engine'!$N$2:'Membership Engine'!$N$121)</f>
        <v/>
      </c>
      <c r="E5" s="40">
        <f>'Membership Engine'!J25</f>
        <v/>
      </c>
      <c r="F5" s="40">
        <f>'Membership Engine'!C25</f>
        <v/>
      </c>
      <c r="G5" s="41">
        <f>'Membership Engine'!K25</f>
        <v/>
      </c>
      <c r="H5" s="42">
        <f>'Membership Engine'!P25</f>
        <v/>
      </c>
      <c r="I5" s="42">
        <f>'Membership Engine'!Q25</f>
        <v/>
      </c>
    </row>
    <row r="6" ht="22" customHeight="1">
      <c r="A6" s="33" t="n">
        <v>3</v>
      </c>
      <c r="B6" s="34">
        <f>SUMPRODUCT(('Membership Engine'!$B$2:'Membership Engine'!$B$121=3)*'Membership Engine'!$L$2:'Membership Engine'!$L$121)</f>
        <v/>
      </c>
      <c r="C6" s="34">
        <f>SUMPRODUCT(('Membership Engine'!$B$2:'Membership Engine'!$B$121=3)*'Membership Engine'!$M$2:'Membership Engine'!$M$121)</f>
        <v/>
      </c>
      <c r="D6" s="34">
        <f>SUMPRODUCT(('Membership Engine'!$B$2:'Membership Engine'!$B$121=3)*'Membership Engine'!$N$2:'Membership Engine'!$N$121)</f>
        <v/>
      </c>
      <c r="E6" s="35">
        <f>'Membership Engine'!J37</f>
        <v/>
      </c>
      <c r="F6" s="35">
        <f>'Membership Engine'!C37</f>
        <v/>
      </c>
      <c r="G6" s="36">
        <f>'Membership Engine'!K37</f>
        <v/>
      </c>
      <c r="H6" s="37">
        <f>'Membership Engine'!P37</f>
        <v/>
      </c>
      <c r="I6" s="37">
        <f>'Membership Engine'!Q37</f>
        <v/>
      </c>
    </row>
    <row r="7" ht="22" customHeight="1">
      <c r="A7" s="38" t="n">
        <v>4</v>
      </c>
      <c r="B7" s="39">
        <f>SUMPRODUCT(('Membership Engine'!$B$2:'Membership Engine'!$B$121=4)*'Membership Engine'!$L$2:'Membership Engine'!$L$121)</f>
        <v/>
      </c>
      <c r="C7" s="39">
        <f>SUMPRODUCT(('Membership Engine'!$B$2:'Membership Engine'!$B$121=4)*'Membership Engine'!$M$2:'Membership Engine'!$M$121)</f>
        <v/>
      </c>
      <c r="D7" s="39">
        <f>SUMPRODUCT(('Membership Engine'!$B$2:'Membership Engine'!$B$121=4)*'Membership Engine'!$N$2:'Membership Engine'!$N$121)</f>
        <v/>
      </c>
      <c r="E7" s="40">
        <f>'Membership Engine'!J49</f>
        <v/>
      </c>
      <c r="F7" s="40">
        <f>'Membership Engine'!C49</f>
        <v/>
      </c>
      <c r="G7" s="41">
        <f>'Membership Engine'!K49</f>
        <v/>
      </c>
      <c r="H7" s="42">
        <f>'Membership Engine'!P49</f>
        <v/>
      </c>
      <c r="I7" s="42">
        <f>'Membership Engine'!Q49</f>
        <v/>
      </c>
    </row>
    <row r="8" ht="22" customHeight="1">
      <c r="A8" s="33" t="n">
        <v>5</v>
      </c>
      <c r="B8" s="34">
        <f>SUMPRODUCT(('Membership Engine'!$B$2:'Membership Engine'!$B$121=5)*'Membership Engine'!$L$2:'Membership Engine'!$L$121)</f>
        <v/>
      </c>
      <c r="C8" s="34">
        <f>SUMPRODUCT(('Membership Engine'!$B$2:'Membership Engine'!$B$121=5)*'Membership Engine'!$M$2:'Membership Engine'!$M$121)</f>
        <v/>
      </c>
      <c r="D8" s="34">
        <f>SUMPRODUCT(('Membership Engine'!$B$2:'Membership Engine'!$B$121=5)*'Membership Engine'!$N$2:'Membership Engine'!$N$121)</f>
        <v/>
      </c>
      <c r="E8" s="35">
        <f>'Membership Engine'!J61</f>
        <v/>
      </c>
      <c r="F8" s="35">
        <f>'Membership Engine'!C61</f>
        <v/>
      </c>
      <c r="G8" s="36">
        <f>'Membership Engine'!K61</f>
        <v/>
      </c>
      <c r="H8" s="37">
        <f>'Membership Engine'!P61</f>
        <v/>
      </c>
      <c r="I8" s="37">
        <f>'Membership Engine'!Q61</f>
        <v/>
      </c>
    </row>
    <row r="9" ht="22" customHeight="1">
      <c r="A9" s="38" t="n">
        <v>6</v>
      </c>
      <c r="B9" s="39">
        <f>SUMPRODUCT(('Membership Engine'!$B$2:'Membership Engine'!$B$121=6)*'Membership Engine'!$L$2:'Membership Engine'!$L$121)</f>
        <v/>
      </c>
      <c r="C9" s="39">
        <f>SUMPRODUCT(('Membership Engine'!$B$2:'Membership Engine'!$B$121=6)*'Membership Engine'!$M$2:'Membership Engine'!$M$121)</f>
        <v/>
      </c>
      <c r="D9" s="39">
        <f>SUMPRODUCT(('Membership Engine'!$B$2:'Membership Engine'!$B$121=6)*'Membership Engine'!$N$2:'Membership Engine'!$N$121)</f>
        <v/>
      </c>
      <c r="E9" s="40">
        <f>'Membership Engine'!J73</f>
        <v/>
      </c>
      <c r="F9" s="40">
        <f>'Membership Engine'!C73</f>
        <v/>
      </c>
      <c r="G9" s="41">
        <f>'Membership Engine'!K73</f>
        <v/>
      </c>
      <c r="H9" s="42">
        <f>'Membership Engine'!P73</f>
        <v/>
      </c>
      <c r="I9" s="42">
        <f>'Membership Engine'!Q73</f>
        <v/>
      </c>
    </row>
    <row r="10" ht="22" customHeight="1">
      <c r="A10" s="33" t="n">
        <v>7</v>
      </c>
      <c r="B10" s="34">
        <f>SUMPRODUCT(('Membership Engine'!$B$2:'Membership Engine'!$B$121=7)*'Membership Engine'!$L$2:'Membership Engine'!$L$121)</f>
        <v/>
      </c>
      <c r="C10" s="34">
        <f>SUMPRODUCT(('Membership Engine'!$B$2:'Membership Engine'!$B$121=7)*'Membership Engine'!$M$2:'Membership Engine'!$M$121)</f>
        <v/>
      </c>
      <c r="D10" s="34">
        <f>SUMPRODUCT(('Membership Engine'!$B$2:'Membership Engine'!$B$121=7)*'Membership Engine'!$N$2:'Membership Engine'!$N$121)</f>
        <v/>
      </c>
      <c r="E10" s="35">
        <f>'Membership Engine'!J85</f>
        <v/>
      </c>
      <c r="F10" s="35">
        <f>'Membership Engine'!C85</f>
        <v/>
      </c>
      <c r="G10" s="36">
        <f>'Membership Engine'!K85</f>
        <v/>
      </c>
      <c r="H10" s="37">
        <f>'Membership Engine'!P85</f>
        <v/>
      </c>
      <c r="I10" s="37">
        <f>'Membership Engine'!Q85</f>
        <v/>
      </c>
    </row>
    <row r="11" ht="22" customHeight="1">
      <c r="A11" s="38" t="n">
        <v>8</v>
      </c>
      <c r="B11" s="39">
        <f>SUMPRODUCT(('Membership Engine'!$B$2:'Membership Engine'!$B$121=8)*'Membership Engine'!$L$2:'Membership Engine'!$L$121)</f>
        <v/>
      </c>
      <c r="C11" s="39">
        <f>SUMPRODUCT(('Membership Engine'!$B$2:'Membership Engine'!$B$121=8)*'Membership Engine'!$M$2:'Membership Engine'!$M$121)</f>
        <v/>
      </c>
      <c r="D11" s="39">
        <f>SUMPRODUCT(('Membership Engine'!$B$2:'Membership Engine'!$B$121=8)*'Membership Engine'!$N$2:'Membership Engine'!$N$121)</f>
        <v/>
      </c>
      <c r="E11" s="40">
        <f>'Membership Engine'!J97</f>
        <v/>
      </c>
      <c r="F11" s="40">
        <f>'Membership Engine'!C97</f>
        <v/>
      </c>
      <c r="G11" s="41">
        <f>'Membership Engine'!K97</f>
        <v/>
      </c>
      <c r="H11" s="42">
        <f>'Membership Engine'!P97</f>
        <v/>
      </c>
      <c r="I11" s="42">
        <f>'Membership Engine'!Q97</f>
        <v/>
      </c>
    </row>
    <row r="12" ht="22" customHeight="1">
      <c r="A12" s="33" t="n">
        <v>9</v>
      </c>
      <c r="B12" s="34">
        <f>SUMPRODUCT(('Membership Engine'!$B$2:'Membership Engine'!$B$121=9)*'Membership Engine'!$L$2:'Membership Engine'!$L$121)</f>
        <v/>
      </c>
      <c r="C12" s="34">
        <f>SUMPRODUCT(('Membership Engine'!$B$2:'Membership Engine'!$B$121=9)*'Membership Engine'!$M$2:'Membership Engine'!$M$121)</f>
        <v/>
      </c>
      <c r="D12" s="34">
        <f>SUMPRODUCT(('Membership Engine'!$B$2:'Membership Engine'!$B$121=9)*'Membership Engine'!$N$2:'Membership Engine'!$N$121)</f>
        <v/>
      </c>
      <c r="E12" s="35">
        <f>'Membership Engine'!J109</f>
        <v/>
      </c>
      <c r="F12" s="35">
        <f>'Membership Engine'!C109</f>
        <v/>
      </c>
      <c r="G12" s="36">
        <f>'Membership Engine'!K109</f>
        <v/>
      </c>
      <c r="H12" s="37">
        <f>'Membership Engine'!P109</f>
        <v/>
      </c>
      <c r="I12" s="37">
        <f>'Membership Engine'!Q109</f>
        <v/>
      </c>
    </row>
    <row r="13" ht="22" customHeight="1">
      <c r="A13" s="38" t="n">
        <v>10</v>
      </c>
      <c r="B13" s="39">
        <f>SUMPRODUCT(('Membership Engine'!$B$2:'Membership Engine'!$B$121=10)*'Membership Engine'!$L$2:'Membership Engine'!$L$121)</f>
        <v/>
      </c>
      <c r="C13" s="39">
        <f>SUMPRODUCT(('Membership Engine'!$B$2:'Membership Engine'!$B$121=10)*'Membership Engine'!$M$2:'Membership Engine'!$M$121)</f>
        <v/>
      </c>
      <c r="D13" s="39">
        <f>SUMPRODUCT(('Membership Engine'!$B$2:'Membership Engine'!$B$121=10)*'Membership Engine'!$N$2:'Membership Engine'!$N$121)</f>
        <v/>
      </c>
      <c r="E13" s="40">
        <f>'Membership Engine'!J121</f>
        <v/>
      </c>
      <c r="F13" s="40">
        <f>'Membership Engine'!C121</f>
        <v/>
      </c>
      <c r="G13" s="41">
        <f>'Membership Engine'!K121</f>
        <v/>
      </c>
      <c r="H13" s="42">
        <f>'Membership Engine'!P121</f>
        <v/>
      </c>
      <c r="I13" s="42">
        <f>'Membership Engine'!Q121</f>
        <v/>
      </c>
    </row>
    <row r="15" ht="22" customHeight="1">
      <c r="A15" s="43" t="inlineStr">
        <is>
          <t xml:space="preserve">  KEY BENCHMARKS  ·  Penetration &lt; 20% → 5.0–5.5x  ·  20–30% → 5.5–6.0x  ·  30–40% → 6.5–7.0x  ·  40%+ → 7.5–8.5x EBITDA</t>
        </is>
      </c>
    </row>
    <row r="16" ht="16" customHeight="1">
      <c r="A16" s="16" t="inlineStr">
        <is>
          <t xml:space="preserve">  Source: Ad Astra Equity / Car Wash Advisory 2025 M&amp;A Report  ·  Churn benchmark 7.6 %/mo: ICA/carwash.com</t>
        </is>
      </c>
    </row>
  </sheetData>
  <mergeCells count="4">
    <mergeCell ref="A1:I1"/>
    <mergeCell ref="A2:I2"/>
    <mergeCell ref="A16:I16"/>
    <mergeCell ref="A15:I1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30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26" customWidth="1" min="12" max="12"/>
  </cols>
  <sheetData>
    <row r="1" ht="38" customHeight="1">
      <c r="A1" s="1" t="inlineStr">
        <is>
          <t>10-YEAR OPERATING P&amp;L  —  BUILD TO EBITDA</t>
        </is>
      </c>
    </row>
    <row r="2" ht="20" customHeight="1">
      <c r="A2" s="2" t="inlineStr">
        <is>
          <t>All figures via live formulas  ·  Revenue from Membership Engine  ·  Costs from Inputs tab  ·  USD</t>
        </is>
      </c>
    </row>
    <row r="3" ht="28" customHeight="1">
      <c r="A3" s="44" t="inlineStr"/>
      <c r="B3" s="44" t="inlineStr">
        <is>
          <t>Year 1</t>
        </is>
      </c>
      <c r="C3" s="44" t="inlineStr">
        <is>
          <t>Year 2</t>
        </is>
      </c>
      <c r="D3" s="44" t="inlineStr">
        <is>
          <t>Year 3</t>
        </is>
      </c>
      <c r="E3" s="44" t="inlineStr">
        <is>
          <t>Year 4</t>
        </is>
      </c>
      <c r="F3" s="44" t="inlineStr">
        <is>
          <t>Year 5</t>
        </is>
      </c>
      <c r="G3" s="44" t="inlineStr">
        <is>
          <t>Year 6</t>
        </is>
      </c>
      <c r="H3" s="44" t="inlineStr">
        <is>
          <t>Year 7</t>
        </is>
      </c>
      <c r="I3" s="44" t="inlineStr">
        <is>
          <t>Year 8</t>
        </is>
      </c>
      <c r="J3" s="44" t="inlineStr">
        <is>
          <t>Year 9</t>
        </is>
      </c>
      <c r="K3" s="44" t="inlineStr">
        <is>
          <t>Year 10</t>
        </is>
      </c>
      <c r="L3" s="44" t="inlineStr">
        <is>
          <t>Benchmark</t>
        </is>
      </c>
    </row>
    <row r="4" ht="22" customHeight="1">
      <c r="A4" s="3" t="inlineStr">
        <is>
          <t xml:space="preserve">  REVENUE</t>
        </is>
      </c>
    </row>
    <row r="5" ht="21" customHeight="1">
      <c r="A5" s="45" t="inlineStr">
        <is>
          <t>Member Revenue</t>
        </is>
      </c>
      <c r="B5" s="34">
        <f>'Annual Summary'!B4</f>
        <v/>
      </c>
      <c r="C5" s="39">
        <f>'Annual Summary'!B5</f>
        <v/>
      </c>
      <c r="D5" s="34">
        <f>'Annual Summary'!B6</f>
        <v/>
      </c>
      <c r="E5" s="39">
        <f>'Annual Summary'!B7</f>
        <v/>
      </c>
      <c r="F5" s="34">
        <f>'Annual Summary'!B8</f>
        <v/>
      </c>
      <c r="G5" s="39">
        <f>'Annual Summary'!B9</f>
        <v/>
      </c>
      <c r="H5" s="34">
        <f>'Annual Summary'!B10</f>
        <v/>
      </c>
      <c r="I5" s="39">
        <f>'Annual Summary'!B11</f>
        <v/>
      </c>
      <c r="J5" s="34">
        <f>'Annual Summary'!B12</f>
        <v/>
      </c>
      <c r="K5" s="39">
        <f>'Annual Summary'!B13</f>
        <v/>
      </c>
      <c r="L5" s="46" t="inlineStr">
        <is>
          <t>recurring subscription</t>
        </is>
      </c>
    </row>
    <row r="6" ht="21" customHeight="1">
      <c r="A6" s="45" t="inlineStr">
        <is>
          <t>Retail Revenue</t>
        </is>
      </c>
      <c r="B6" s="34">
        <f>'Annual Summary'!C4</f>
        <v/>
      </c>
      <c r="C6" s="39">
        <f>'Annual Summary'!C5</f>
        <v/>
      </c>
      <c r="D6" s="34">
        <f>'Annual Summary'!C6</f>
        <v/>
      </c>
      <c r="E6" s="39">
        <f>'Annual Summary'!C7</f>
        <v/>
      </c>
      <c r="F6" s="34">
        <f>'Annual Summary'!C8</f>
        <v/>
      </c>
      <c r="G6" s="39">
        <f>'Annual Summary'!C9</f>
        <v/>
      </c>
      <c r="H6" s="34">
        <f>'Annual Summary'!C10</f>
        <v/>
      </c>
      <c r="I6" s="39">
        <f>'Annual Summary'!C11</f>
        <v/>
      </c>
      <c r="J6" s="34">
        <f>'Annual Summary'!C12</f>
        <v/>
      </c>
      <c r="K6" s="39">
        <f>'Annual Summary'!C13</f>
        <v/>
      </c>
      <c r="L6" s="46" t="inlineStr">
        <is>
          <t>pay-per-wash</t>
        </is>
      </c>
    </row>
    <row r="7" ht="21" customHeight="1">
      <c r="A7" s="47" t="inlineStr">
        <is>
          <t>TOTAL REVENUE</t>
        </is>
      </c>
      <c r="B7" s="48">
        <f>B5+B6</f>
        <v/>
      </c>
      <c r="C7" s="48">
        <f>C5+C6</f>
        <v/>
      </c>
      <c r="D7" s="48">
        <f>D5+D6</f>
        <v/>
      </c>
      <c r="E7" s="48">
        <f>E5+E6</f>
        <v/>
      </c>
      <c r="F7" s="48">
        <f>F5+F6</f>
        <v/>
      </c>
      <c r="G7" s="48">
        <f>G5+G6</f>
        <v/>
      </c>
      <c r="H7" s="48">
        <f>H5+H6</f>
        <v/>
      </c>
      <c r="I7" s="48">
        <f>I5+I6</f>
        <v/>
      </c>
      <c r="J7" s="48">
        <f>J5+J6</f>
        <v/>
      </c>
      <c r="K7" s="48">
        <f>K5+K6</f>
        <v/>
      </c>
      <c r="L7" s="49" t="inlineStr"/>
    </row>
    <row r="8" ht="6" customHeight="1"/>
    <row r="9" ht="22" customHeight="1">
      <c r="A9" s="3" t="inlineStr">
        <is>
          <t xml:space="preserve">  OPERATING EXPENSES</t>
        </is>
      </c>
    </row>
    <row r="10" ht="21" customHeight="1">
      <c r="A10" s="45" t="inlineStr">
        <is>
          <t xml:space="preserve">    Labor &amp; Benefits</t>
        </is>
      </c>
      <c r="B10" s="34">
        <f>B7*Inputs!$B$28</f>
        <v/>
      </c>
      <c r="C10" s="39">
        <f>C7*Inputs!$B$28</f>
        <v/>
      </c>
      <c r="D10" s="34">
        <f>D7*Inputs!$B$28</f>
        <v/>
      </c>
      <c r="E10" s="39">
        <f>E7*Inputs!$B$28</f>
        <v/>
      </c>
      <c r="F10" s="34">
        <f>F7*Inputs!$B$28</f>
        <v/>
      </c>
      <c r="G10" s="39">
        <f>G7*Inputs!$B$28</f>
        <v/>
      </c>
      <c r="H10" s="34">
        <f>H7*Inputs!$B$28</f>
        <v/>
      </c>
      <c r="I10" s="39">
        <f>I7*Inputs!$B$28</f>
        <v/>
      </c>
      <c r="J10" s="34">
        <f>J7*Inputs!$B$28</f>
        <v/>
      </c>
      <c r="K10" s="39">
        <f>K7*Inputs!$B$28</f>
        <v/>
      </c>
      <c r="L10" s="46" t="inlineStr">
        <is>
          <t>25–30% of revenue</t>
        </is>
      </c>
    </row>
    <row r="11" ht="21" customHeight="1">
      <c r="A11" s="45" t="inlineStr">
        <is>
          <t xml:space="preserve">    Chemicals &amp; Supplies</t>
        </is>
      </c>
      <c r="B11" s="34">
        <f>B7*Inputs!$B$29</f>
        <v/>
      </c>
      <c r="C11" s="39">
        <f>C7*Inputs!$B$29</f>
        <v/>
      </c>
      <c r="D11" s="34">
        <f>D7*Inputs!$B$29</f>
        <v/>
      </c>
      <c r="E11" s="39">
        <f>E7*Inputs!$B$29</f>
        <v/>
      </c>
      <c r="F11" s="34">
        <f>F7*Inputs!$B$29</f>
        <v/>
      </c>
      <c r="G11" s="39">
        <f>G7*Inputs!$B$29</f>
        <v/>
      </c>
      <c r="H11" s="34">
        <f>H7*Inputs!$B$29</f>
        <v/>
      </c>
      <c r="I11" s="39">
        <f>I7*Inputs!$B$29</f>
        <v/>
      </c>
      <c r="J11" s="34">
        <f>J7*Inputs!$B$29</f>
        <v/>
      </c>
      <c r="K11" s="39">
        <f>K7*Inputs!$B$29</f>
        <v/>
      </c>
      <c r="L11" s="46" t="inlineStr">
        <is>
          <t>8–12% of revenue</t>
        </is>
      </c>
    </row>
    <row r="12" ht="21" customHeight="1">
      <c r="A12" s="45" t="inlineStr">
        <is>
          <t xml:space="preserve">    Utilities</t>
        </is>
      </c>
      <c r="B12" s="34">
        <f>B7*Inputs!$B$30</f>
        <v/>
      </c>
      <c r="C12" s="39">
        <f>C7*Inputs!$B$30</f>
        <v/>
      </c>
      <c r="D12" s="34">
        <f>D7*Inputs!$B$30</f>
        <v/>
      </c>
      <c r="E12" s="39">
        <f>E7*Inputs!$B$30</f>
        <v/>
      </c>
      <c r="F12" s="34">
        <f>F7*Inputs!$B$30</f>
        <v/>
      </c>
      <c r="G12" s="39">
        <f>G7*Inputs!$B$30</f>
        <v/>
      </c>
      <c r="H12" s="34">
        <f>H7*Inputs!$B$30</f>
        <v/>
      </c>
      <c r="I12" s="39">
        <f>I7*Inputs!$B$30</f>
        <v/>
      </c>
      <c r="J12" s="34">
        <f>J7*Inputs!$B$30</f>
        <v/>
      </c>
      <c r="K12" s="39">
        <f>K7*Inputs!$B$30</f>
        <v/>
      </c>
      <c r="L12" s="46" t="inlineStr">
        <is>
          <t>5–8% of revenue</t>
        </is>
      </c>
    </row>
    <row r="13" ht="21" customHeight="1">
      <c r="A13" s="45" t="inlineStr">
        <is>
          <t xml:space="preserve">    Repairs &amp; Maintenance</t>
        </is>
      </c>
      <c r="B13" s="34">
        <f>B7*Inputs!$B$31</f>
        <v/>
      </c>
      <c r="C13" s="39">
        <f>C7*Inputs!$B$31</f>
        <v/>
      </c>
      <c r="D13" s="34">
        <f>D7*Inputs!$B$31</f>
        <v/>
      </c>
      <c r="E13" s="39">
        <f>E7*Inputs!$B$31</f>
        <v/>
      </c>
      <c r="F13" s="34">
        <f>F7*Inputs!$B$31</f>
        <v/>
      </c>
      <c r="G13" s="39">
        <f>G7*Inputs!$B$31</f>
        <v/>
      </c>
      <c r="H13" s="34">
        <f>H7*Inputs!$B$31</f>
        <v/>
      </c>
      <c r="I13" s="39">
        <f>I7*Inputs!$B$31</f>
        <v/>
      </c>
      <c r="J13" s="34">
        <f>J7*Inputs!$B$31</f>
        <v/>
      </c>
      <c r="K13" s="39">
        <f>K7*Inputs!$B$31</f>
        <v/>
      </c>
      <c r="L13" s="46" t="inlineStr">
        <is>
          <t>3–5% of revenue</t>
        </is>
      </c>
    </row>
    <row r="14" ht="21" customHeight="1">
      <c r="A14" s="50" t="inlineStr">
        <is>
          <t>Total Variable Costs</t>
        </is>
      </c>
      <c r="B14" s="51">
        <f>B10+B11+B12+B13</f>
        <v/>
      </c>
      <c r="C14" s="51">
        <f>C10+C11+C12+C13</f>
        <v/>
      </c>
      <c r="D14" s="51">
        <f>D10+D11+D12+D13</f>
        <v/>
      </c>
      <c r="E14" s="51">
        <f>E10+E11+E12+E13</f>
        <v/>
      </c>
      <c r="F14" s="51">
        <f>F10+F11+F12+F13</f>
        <v/>
      </c>
      <c r="G14" s="51">
        <f>G10+G11+G12+G13</f>
        <v/>
      </c>
      <c r="H14" s="51">
        <f>H10+H11+H12+H13</f>
        <v/>
      </c>
      <c r="I14" s="51">
        <f>I10+I11+I12+I13</f>
        <v/>
      </c>
      <c r="J14" s="51">
        <f>J10+J11+J12+J13</f>
        <v/>
      </c>
      <c r="K14" s="51">
        <f>K10+K11+K12+K13</f>
        <v/>
      </c>
      <c r="L14" s="52" t="inlineStr">
        <is>
          <t>~41–55% of revenue</t>
        </is>
      </c>
    </row>
    <row r="15" ht="21" customHeight="1">
      <c r="A15" s="45" t="inlineStr">
        <is>
          <t xml:space="preserve">    Rent / Site Lease</t>
        </is>
      </c>
      <c r="B15" s="34">
        <f>Inputs!$B$34*(1+Inputs!$B$37)^0</f>
        <v/>
      </c>
      <c r="C15" s="39">
        <f>Inputs!$B$34*(1+Inputs!$B$37)^1</f>
        <v/>
      </c>
      <c r="D15" s="34">
        <f>Inputs!$B$34*(1+Inputs!$B$37)^2</f>
        <v/>
      </c>
      <c r="E15" s="39">
        <f>Inputs!$B$34*(1+Inputs!$B$37)^3</f>
        <v/>
      </c>
      <c r="F15" s="34">
        <f>Inputs!$B$34*(1+Inputs!$B$37)^4</f>
        <v/>
      </c>
      <c r="G15" s="39">
        <f>Inputs!$B$34*(1+Inputs!$B$37)^5</f>
        <v/>
      </c>
      <c r="H15" s="34">
        <f>Inputs!$B$34*(1+Inputs!$B$37)^6</f>
        <v/>
      </c>
      <c r="I15" s="39">
        <f>Inputs!$B$34*(1+Inputs!$B$37)^7</f>
        <v/>
      </c>
      <c r="J15" s="34">
        <f>Inputs!$B$34*(1+Inputs!$B$37)^8</f>
        <v/>
      </c>
      <c r="K15" s="39">
        <f>Inputs!$B$34*(1+Inputs!$B$37)^9</f>
        <v/>
      </c>
      <c r="L15" s="46" t="inlineStr">
        <is>
          <t>$80K–$200K/yr</t>
        </is>
      </c>
    </row>
    <row r="16" ht="21" customHeight="1">
      <c r="A16" s="45" t="inlineStr">
        <is>
          <t xml:space="preserve">    Insurance</t>
        </is>
      </c>
      <c r="B16" s="34">
        <f>Inputs!$B$35*(1+Inputs!$B$37)^0</f>
        <v/>
      </c>
      <c r="C16" s="39">
        <f>Inputs!$B$35*(1+Inputs!$B$37)^1</f>
        <v/>
      </c>
      <c r="D16" s="34">
        <f>Inputs!$B$35*(1+Inputs!$B$37)^2</f>
        <v/>
      </c>
      <c r="E16" s="39">
        <f>Inputs!$B$35*(1+Inputs!$B$37)^3</f>
        <v/>
      </c>
      <c r="F16" s="34">
        <f>Inputs!$B$35*(1+Inputs!$B$37)^4</f>
        <v/>
      </c>
      <c r="G16" s="39">
        <f>Inputs!$B$35*(1+Inputs!$B$37)^5</f>
        <v/>
      </c>
      <c r="H16" s="34">
        <f>Inputs!$B$35*(1+Inputs!$B$37)^6</f>
        <v/>
      </c>
      <c r="I16" s="39">
        <f>Inputs!$B$35*(1+Inputs!$B$37)^7</f>
        <v/>
      </c>
      <c r="J16" s="34">
        <f>Inputs!$B$35*(1+Inputs!$B$37)^8</f>
        <v/>
      </c>
      <c r="K16" s="39">
        <f>Inputs!$B$35*(1+Inputs!$B$37)^9</f>
        <v/>
      </c>
      <c r="L16" s="46" t="inlineStr">
        <is>
          <t>$15K–$25K/yr</t>
        </is>
      </c>
    </row>
    <row r="17" ht="21" customHeight="1">
      <c r="A17" s="45" t="inlineStr">
        <is>
          <t xml:space="preserve">    Admin &amp; Overhead</t>
        </is>
      </c>
      <c r="B17" s="34">
        <f>Inputs!$B$36*(1+Inputs!$B$37)^0</f>
        <v/>
      </c>
      <c r="C17" s="39">
        <f>Inputs!$B$36*(1+Inputs!$B$37)^1</f>
        <v/>
      </c>
      <c r="D17" s="34">
        <f>Inputs!$B$36*(1+Inputs!$B$37)^2</f>
        <v/>
      </c>
      <c r="E17" s="39">
        <f>Inputs!$B$36*(1+Inputs!$B$37)^3</f>
        <v/>
      </c>
      <c r="F17" s="34">
        <f>Inputs!$B$36*(1+Inputs!$B$37)^4</f>
        <v/>
      </c>
      <c r="G17" s="39">
        <f>Inputs!$B$36*(1+Inputs!$B$37)^5</f>
        <v/>
      </c>
      <c r="H17" s="34">
        <f>Inputs!$B$36*(1+Inputs!$B$37)^6</f>
        <v/>
      </c>
      <c r="I17" s="39">
        <f>Inputs!$B$36*(1+Inputs!$B$37)^7</f>
        <v/>
      </c>
      <c r="J17" s="34">
        <f>Inputs!$B$36*(1+Inputs!$B$37)^8</f>
        <v/>
      </c>
      <c r="K17" s="39">
        <f>Inputs!$B$36*(1+Inputs!$B$37)^9</f>
        <v/>
      </c>
      <c r="L17" s="46" t="inlineStr">
        <is>
          <t>$30K–$60K/yr</t>
        </is>
      </c>
    </row>
    <row r="18" ht="21" customHeight="1">
      <c r="A18" s="50" t="inlineStr">
        <is>
          <t>Total Fixed Costs</t>
        </is>
      </c>
      <c r="B18" s="51">
        <f>B15+B16+B17</f>
        <v/>
      </c>
      <c r="C18" s="51">
        <f>C15+C16+C17</f>
        <v/>
      </c>
      <c r="D18" s="51">
        <f>D15+D16+D17</f>
        <v/>
      </c>
      <c r="E18" s="51">
        <f>E15+E16+E17</f>
        <v/>
      </c>
      <c r="F18" s="51">
        <f>F15+F16+F17</f>
        <v/>
      </c>
      <c r="G18" s="51">
        <f>G15+G16+G17</f>
        <v/>
      </c>
      <c r="H18" s="51">
        <f>H15+H16+H17</f>
        <v/>
      </c>
      <c r="I18" s="51">
        <f>I15+I16+I17</f>
        <v/>
      </c>
      <c r="J18" s="51">
        <f>J15+J16+J17</f>
        <v/>
      </c>
      <c r="K18" s="51">
        <f>K15+K16+K17</f>
        <v/>
      </c>
      <c r="L18" s="52" t="inlineStr">
        <is>
          <t>inflated annually</t>
        </is>
      </c>
    </row>
    <row r="19" ht="6" customHeight="1"/>
    <row r="20" ht="21" customHeight="1">
      <c r="A20" s="53" t="inlineStr">
        <is>
          <t>TOTAL OPERATING COSTS</t>
        </is>
      </c>
      <c r="B20" s="54">
        <f>B14+B18</f>
        <v/>
      </c>
      <c r="C20" s="54">
        <f>C14+C18</f>
        <v/>
      </c>
      <c r="D20" s="54">
        <f>D14+D18</f>
        <v/>
      </c>
      <c r="E20" s="54">
        <f>E14+E18</f>
        <v/>
      </c>
      <c r="F20" s="54">
        <f>F14+F18</f>
        <v/>
      </c>
      <c r="G20" s="54">
        <f>G14+G18</f>
        <v/>
      </c>
      <c r="H20" s="54">
        <f>H14+H18</f>
        <v/>
      </c>
      <c r="I20" s="54">
        <f>I14+I18</f>
        <v/>
      </c>
      <c r="J20" s="54">
        <f>J14+J18</f>
        <v/>
      </c>
      <c r="K20" s="54">
        <f>K14+K18</f>
        <v/>
      </c>
      <c r="L20" s="55" t="inlineStr"/>
    </row>
    <row r="21" ht="6" customHeight="1"/>
    <row r="22" ht="21" customHeight="1">
      <c r="A22" s="56" t="inlineStr">
        <is>
          <t>EBITDA</t>
        </is>
      </c>
      <c r="B22" s="57">
        <f>B7-B20</f>
        <v/>
      </c>
      <c r="C22" s="57">
        <f>C7-C20</f>
        <v/>
      </c>
      <c r="D22" s="57">
        <f>D7-D20</f>
        <v/>
      </c>
      <c r="E22" s="57">
        <f>E7-E20</f>
        <v/>
      </c>
      <c r="F22" s="57">
        <f>F7-F20</f>
        <v/>
      </c>
      <c r="G22" s="57">
        <f>G7-G20</f>
        <v/>
      </c>
      <c r="H22" s="57">
        <f>H7-H20</f>
        <v/>
      </c>
      <c r="I22" s="57">
        <f>I7-I20</f>
        <v/>
      </c>
      <c r="J22" s="57">
        <f>J7-J20</f>
        <v/>
      </c>
      <c r="K22" s="57">
        <f>K7-K20</f>
        <v/>
      </c>
      <c r="L22" s="58" t="inlineStr">
        <is>
          <t>target: 35–50% margin</t>
        </is>
      </c>
    </row>
    <row r="23" ht="21" customHeight="1">
      <c r="A23" s="59" t="inlineStr">
        <is>
          <t>EBITDA Margin %</t>
        </is>
      </c>
      <c r="B23" s="60">
        <f>IF(B7&gt;0,B22/B7,0)</f>
        <v/>
      </c>
      <c r="C23" s="60">
        <f>IF(C7&gt;0,C22/C7,0)</f>
        <v/>
      </c>
      <c r="D23" s="60">
        <f>IF(D7&gt;0,D22/D7,0)</f>
        <v/>
      </c>
      <c r="E23" s="60">
        <f>IF(E7&gt;0,E22/E7,0)</f>
        <v/>
      </c>
      <c r="F23" s="60">
        <f>IF(F7&gt;0,F22/F7,0)</f>
        <v/>
      </c>
      <c r="G23" s="60">
        <f>IF(G7&gt;0,G22/G7,0)</f>
        <v/>
      </c>
      <c r="H23" s="60">
        <f>IF(H7&gt;0,H22/H7,0)</f>
        <v/>
      </c>
      <c r="I23" s="60">
        <f>IF(I7&gt;0,I22/I7,0)</f>
        <v/>
      </c>
      <c r="J23" s="60">
        <f>IF(J7&gt;0,J22/J7,0)</f>
        <v/>
      </c>
      <c r="K23" s="60">
        <f>IF(K7&gt;0,K22/K7,0)</f>
        <v/>
      </c>
      <c r="L23" s="58" t="inlineStr">
        <is>
          <t>benchmark: 35–50%</t>
        </is>
      </c>
    </row>
    <row r="24" ht="6" customHeight="1"/>
    <row r="25" ht="22" customHeight="1">
      <c r="A25" s="3" t="inlineStr">
        <is>
          <t xml:space="preserve">  IMPLIED ENTERPRISE VALUE  (EBITDA × penetration-based multiple)</t>
        </is>
      </c>
    </row>
    <row r="26" ht="21" customHeight="1">
      <c r="A26" s="45" t="inlineStr">
        <is>
          <t>Implied EV Low</t>
        </is>
      </c>
      <c r="B26" s="34">
        <f>B22*'Annual Summary'!H4</f>
        <v/>
      </c>
      <c r="C26" s="39">
        <f>C22*'Annual Summary'!H5</f>
        <v/>
      </c>
      <c r="D26" s="34">
        <f>D22*'Annual Summary'!H6</f>
        <v/>
      </c>
      <c r="E26" s="39">
        <f>E22*'Annual Summary'!H7</f>
        <v/>
      </c>
      <c r="F26" s="34">
        <f>F22*'Annual Summary'!H8</f>
        <v/>
      </c>
      <c r="G26" s="39">
        <f>G22*'Annual Summary'!H9</f>
        <v/>
      </c>
      <c r="H26" s="34">
        <f>H22*'Annual Summary'!H10</f>
        <v/>
      </c>
      <c r="I26" s="39">
        <f>I22*'Annual Summary'!H11</f>
        <v/>
      </c>
      <c r="J26" s="34">
        <f>J22*'Annual Summary'!H12</f>
        <v/>
      </c>
      <c r="K26" s="39">
        <f>K22*'Annual Summary'!H13</f>
        <v/>
      </c>
      <c r="L26" s="46" t="inlineStr">
        <is>
          <t>penetration → multiple tier</t>
        </is>
      </c>
    </row>
    <row r="27" ht="21" customHeight="1">
      <c r="A27" s="45" t="inlineStr">
        <is>
          <t>Implied EV High</t>
        </is>
      </c>
      <c r="B27" s="34">
        <f>B22*'Annual Summary'!I4</f>
        <v/>
      </c>
      <c r="C27" s="39">
        <f>C22*'Annual Summary'!I5</f>
        <v/>
      </c>
      <c r="D27" s="34">
        <f>D22*'Annual Summary'!I6</f>
        <v/>
      </c>
      <c r="E27" s="39">
        <f>E22*'Annual Summary'!I7</f>
        <v/>
      </c>
      <c r="F27" s="34">
        <f>F22*'Annual Summary'!I8</f>
        <v/>
      </c>
      <c r="G27" s="39">
        <f>G22*'Annual Summary'!I9</f>
        <v/>
      </c>
      <c r="H27" s="34">
        <f>H22*'Annual Summary'!I10</f>
        <v/>
      </c>
      <c r="I27" s="39">
        <f>I22*'Annual Summary'!I11</f>
        <v/>
      </c>
      <c r="J27" s="34">
        <f>J22*'Annual Summary'!I12</f>
        <v/>
      </c>
      <c r="K27" s="39">
        <f>K22*'Annual Summary'!I13</f>
        <v/>
      </c>
      <c r="L27" s="46" t="inlineStr">
        <is>
          <t>grows as penetration improves</t>
        </is>
      </c>
    </row>
    <row r="28" ht="6" customHeight="1"/>
    <row r="29" ht="22" customHeight="1">
      <c r="A29" s="43" t="inlineStr">
        <is>
          <t xml:space="preserve">  MARGIN BENCHMARKS  ·  EBITDA &gt; 40% = strong  ·  35–40% = healthy  ·  30–35% = watch carefully  ·  &lt; 30% = stress-test assumptions</t>
        </is>
      </c>
    </row>
    <row r="30" ht="16" customHeight="1">
      <c r="A30" s="16" t="inlineStr">
        <is>
          <t xml:space="preserve">  Labor 25–30%  ·  Chemicals 8–12%  ·  Utilities 5–8%  ·  R&amp;M 3–5%  ·  Source: ICA / Car Wash Advisory 2025 M&amp;A Report</t>
        </is>
      </c>
    </row>
  </sheetData>
  <mergeCells count="7">
    <mergeCell ref="A30:L30"/>
    <mergeCell ref="A2:L2"/>
    <mergeCell ref="A29:L29"/>
    <mergeCell ref="A25:L25"/>
    <mergeCell ref="A1:L1"/>
    <mergeCell ref="A9:L9"/>
    <mergeCell ref="A4:L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38"/>
  <sheetViews>
    <sheetView showGridLines="0" workbookViewId="0">
      <pane xSplit="2" ySplit="16" topLeftCell="C1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6" customWidth="1" min="1" max="1"/>
    <col width="16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28" customWidth="1" min="13" max="13"/>
  </cols>
  <sheetData>
    <row r="1" ht="38" customHeight="1">
      <c r="A1" s="1" t="inlineStr">
        <is>
          <t>SBA ACQUISITION FINANCING  ·  DSCR  ·  LEVERED IRR &amp; EQUITY MULTIPLE</t>
        </is>
      </c>
    </row>
    <row r="2" ht="20" customHeight="1">
      <c r="A2" s="2" t="inlineStr">
        <is>
          <t>SBA 7(a)/504 · 85% LTV · 25-year amortization  ·  Change Inputs B40–44 → IRR and DSCR update automatically</t>
        </is>
      </c>
    </row>
    <row r="3" ht="8" customHeight="1"/>
    <row r="4" ht="22" customHeight="1">
      <c r="A4" s="3" t="inlineStr">
        <is>
          <t xml:space="preserve">  ACQUISITION STRUCTURE</t>
        </is>
      </c>
    </row>
    <row r="5" ht="21" customHeight="1">
      <c r="A5" s="45" t="inlineStr">
        <is>
          <t>Purchase Price (Enterprise Value)</t>
        </is>
      </c>
      <c r="B5" s="34">
        <f>Inputs!$B$40</f>
        <v/>
      </c>
      <c r="C5" s="61" t="n"/>
      <c r="D5" s="61" t="n"/>
      <c r="E5" s="61" t="n"/>
      <c r="F5" s="61" t="n"/>
      <c r="G5" s="61" t="n"/>
      <c r="H5" s="61" t="n"/>
      <c r="I5" s="61" t="n"/>
      <c r="J5" s="61" t="n"/>
      <c r="K5" s="61" t="n"/>
      <c r="L5" s="61" t="n"/>
      <c r="M5" s="62" t="inlineStr">
        <is>
          <t>target acquisition EV — edit Inputs B40</t>
        </is>
      </c>
    </row>
    <row r="6" ht="21" customHeight="1">
      <c r="A6" s="45" t="inlineStr">
        <is>
          <t>SBA Loan Amount</t>
        </is>
      </c>
      <c r="B6" s="34">
        <f>B5*Inputs!$B$41</f>
        <v/>
      </c>
      <c r="C6" s="61" t="n"/>
      <c r="D6" s="61" t="n"/>
      <c r="E6" s="61" t="n"/>
      <c r="F6" s="61" t="n"/>
      <c r="G6" s="61" t="n"/>
      <c r="H6" s="61" t="n"/>
      <c r="I6" s="61" t="n"/>
      <c r="J6" s="61" t="n"/>
      <c r="K6" s="61" t="n"/>
      <c r="L6" s="61" t="n"/>
      <c r="M6" s="62" t="inlineStr">
        <is>
          <t>85% LTV — SBA 7(a)/504 standard</t>
        </is>
      </c>
    </row>
    <row r="7" ht="21" customHeight="1">
      <c r="A7" s="45" t="inlineStr">
        <is>
          <t>Down Payment (15% Equity)</t>
        </is>
      </c>
      <c r="B7" s="34">
        <f>B5-B6</f>
        <v/>
      </c>
      <c r="C7" s="61" t="n"/>
      <c r="D7" s="61" t="n"/>
      <c r="E7" s="61" t="n"/>
      <c r="F7" s="61" t="n"/>
      <c r="G7" s="61" t="n"/>
      <c r="H7" s="61" t="n"/>
      <c r="I7" s="61" t="n"/>
      <c r="J7" s="61" t="n"/>
      <c r="K7" s="61" t="n"/>
      <c r="L7" s="61" t="n"/>
      <c r="M7" s="62" t="inlineStr">
        <is>
          <t>15% minimum equity injection (SBA rule)</t>
        </is>
      </c>
    </row>
    <row r="8" ht="21" customHeight="1">
      <c r="A8" s="45" t="inlineStr">
        <is>
          <t>Closing Costs &amp; Fees</t>
        </is>
      </c>
      <c r="B8" s="34">
        <f>B5*Inputs!$B$44</f>
        <v/>
      </c>
      <c r="C8" s="61" t="n"/>
      <c r="D8" s="61" t="n"/>
      <c r="E8" s="61" t="n"/>
      <c r="F8" s="61" t="n"/>
      <c r="G8" s="61" t="n"/>
      <c r="H8" s="61" t="n"/>
      <c r="I8" s="61" t="n"/>
      <c r="J8" s="61" t="n"/>
      <c r="K8" s="61" t="n"/>
      <c r="L8" s="61" t="n"/>
      <c r="M8" s="62" t="inlineStr">
        <is>
          <t>2–4% of purchase price for SBA deals</t>
        </is>
      </c>
    </row>
    <row r="9" ht="21" customHeight="1">
      <c r="A9" s="56" t="inlineStr">
        <is>
          <t>TOTAL EQUITY INVESTED</t>
        </is>
      </c>
      <c r="B9" s="57">
        <f>B7+B8</f>
        <v/>
      </c>
      <c r="C9" s="61" t="n"/>
      <c r="D9" s="61" t="n"/>
      <c r="E9" s="61" t="n"/>
      <c r="F9" s="61" t="n"/>
      <c r="G9" s="61" t="n"/>
      <c r="H9" s="61" t="n"/>
      <c r="I9" s="61" t="n"/>
      <c r="J9" s="61" t="n"/>
      <c r="K9" s="61" t="n"/>
      <c r="L9" s="61" t="n"/>
      <c r="M9" s="62" t="inlineStr">
        <is>
          <t>initial equity required (Year 0 outflow)</t>
        </is>
      </c>
    </row>
    <row r="10" ht="6" customHeight="1"/>
    <row r="11" ht="21" customHeight="1">
      <c r="A11" s="45" t="inlineStr">
        <is>
          <t>SBA Interest Rate (annual)</t>
        </is>
      </c>
      <c r="B11" s="63">
        <f>Inputs!$B$42</f>
        <v/>
      </c>
      <c r="C11" s="61" t="n"/>
      <c r="D11" s="61" t="n"/>
      <c r="E11" s="61" t="n"/>
      <c r="F11" s="61" t="n"/>
      <c r="G11" s="61" t="n"/>
      <c r="H11" s="61" t="n"/>
      <c r="I11" s="61" t="n"/>
      <c r="J11" s="61" t="n"/>
      <c r="K11" s="61" t="n"/>
      <c r="L11" s="61" t="n"/>
      <c r="M11" s="62" t="inlineStr">
        <is>
          <t>WSJ Prime + 2.75% — verify current rate</t>
        </is>
      </c>
    </row>
    <row r="12" ht="21" customHeight="1">
      <c r="A12" s="45" t="inlineStr">
        <is>
          <t>Loan Term (years)</t>
        </is>
      </c>
      <c r="B12" s="64">
        <f>Inputs!$B$43</f>
        <v/>
      </c>
      <c r="C12" s="61" t="n"/>
      <c r="D12" s="61" t="n"/>
      <c r="E12" s="61" t="n"/>
      <c r="F12" s="61" t="n"/>
      <c r="G12" s="61" t="n"/>
      <c r="H12" s="61" t="n"/>
      <c r="I12" s="61" t="n"/>
      <c r="J12" s="61" t="n"/>
      <c r="K12" s="61" t="n"/>
      <c r="L12" s="61" t="n"/>
      <c r="M12" s="62" t="inlineStr">
        <is>
          <t>SBA 504 real estate: up to 25 years</t>
        </is>
      </c>
    </row>
    <row r="13" ht="21" customHeight="1">
      <c r="A13" s="45" t="inlineStr">
        <is>
          <t>Annual Debt Service (constant)</t>
        </is>
      </c>
      <c r="B13" s="34">
        <f>-PMT(B11/12,B12*12,B6)*12</f>
        <v/>
      </c>
      <c r="C13" s="61" t="n"/>
      <c r="D13" s="61" t="n"/>
      <c r="E13" s="61" t="n"/>
      <c r="F13" s="61" t="n"/>
      <c r="G13" s="61" t="n"/>
      <c r="H13" s="61" t="n"/>
      <c r="I13" s="61" t="n"/>
      <c r="J13" s="61" t="n"/>
      <c r="K13" s="61" t="n"/>
      <c r="L13" s="61" t="n"/>
      <c r="M13" s="62" t="inlineStr">
        <is>
          <t>monthly PMT × 12 — fixed for full loan life</t>
        </is>
      </c>
    </row>
    <row r="14" ht="6" customHeight="1"/>
    <row r="15" ht="22" customHeight="1">
      <c r="A15" s="3" t="inlineStr">
        <is>
          <t xml:space="preserve">  ANNUAL PERFORMANCE  (Years 1–10)</t>
        </is>
      </c>
    </row>
    <row r="16" ht="28" customHeight="1">
      <c r="A16" s="65" t="inlineStr"/>
      <c r="B16" s="65" t="inlineStr">
        <is>
          <t>Year 0</t>
        </is>
      </c>
      <c r="C16" s="65" t="inlineStr">
        <is>
          <t>Year 1</t>
        </is>
      </c>
      <c r="D16" s="65" t="inlineStr">
        <is>
          <t>Year 2</t>
        </is>
      </c>
      <c r="E16" s="65" t="inlineStr">
        <is>
          <t>Year 3</t>
        </is>
      </c>
      <c r="F16" s="65" t="inlineStr">
        <is>
          <t>Year 4</t>
        </is>
      </c>
      <c r="G16" s="65" t="inlineStr">
        <is>
          <t>Year 5</t>
        </is>
      </c>
      <c r="H16" s="65" t="inlineStr">
        <is>
          <t>Year 6</t>
        </is>
      </c>
      <c r="I16" s="65" t="inlineStr">
        <is>
          <t>Year 7</t>
        </is>
      </c>
      <c r="J16" s="65" t="inlineStr">
        <is>
          <t>Year 8</t>
        </is>
      </c>
      <c r="K16" s="65" t="inlineStr">
        <is>
          <t>Year 9</t>
        </is>
      </c>
      <c r="L16" s="65" t="inlineStr">
        <is>
          <t>Year 10</t>
        </is>
      </c>
      <c r="M16" s="65" t="inlineStr">
        <is>
          <t>Benchmark</t>
        </is>
      </c>
    </row>
    <row r="17" ht="21" customHeight="1">
      <c r="A17" s="45" t="inlineStr">
        <is>
          <t>EBITDA (from P&amp;L)</t>
        </is>
      </c>
      <c r="B17" s="39" t="n"/>
      <c r="C17" s="34">
        <f>'P&amp;L'!B22</f>
        <v/>
      </c>
      <c r="D17" s="39">
        <f>'P&amp;L'!C22</f>
        <v/>
      </c>
      <c r="E17" s="34">
        <f>'P&amp;L'!D22</f>
        <v/>
      </c>
      <c r="F17" s="39">
        <f>'P&amp;L'!E22</f>
        <v/>
      </c>
      <c r="G17" s="34">
        <f>'P&amp;L'!F22</f>
        <v/>
      </c>
      <c r="H17" s="39">
        <f>'P&amp;L'!G22</f>
        <v/>
      </c>
      <c r="I17" s="34">
        <f>'P&amp;L'!H22</f>
        <v/>
      </c>
      <c r="J17" s="39">
        <f>'P&amp;L'!I22</f>
        <v/>
      </c>
      <c r="K17" s="34">
        <f>'P&amp;L'!J22</f>
        <v/>
      </c>
      <c r="L17" s="39">
        <f>'P&amp;L'!K22</f>
        <v/>
      </c>
      <c r="M17" s="46" t="inlineStr">
        <is>
          <t>annual operating EBITDA</t>
        </is>
      </c>
    </row>
    <row r="18" ht="21" customHeight="1">
      <c r="A18" s="66" t="inlineStr">
        <is>
          <t>Annual Debt Service</t>
        </is>
      </c>
      <c r="B18" s="39" t="n"/>
      <c r="C18" s="67">
        <f>$B$13</f>
        <v/>
      </c>
      <c r="D18" s="67">
        <f>$B$13</f>
        <v/>
      </c>
      <c r="E18" s="67">
        <f>$B$13</f>
        <v/>
      </c>
      <c r="F18" s="67">
        <f>$B$13</f>
        <v/>
      </c>
      <c r="G18" s="67">
        <f>$B$13</f>
        <v/>
      </c>
      <c r="H18" s="67">
        <f>$B$13</f>
        <v/>
      </c>
      <c r="I18" s="67">
        <f>$B$13</f>
        <v/>
      </c>
      <c r="J18" s="67">
        <f>$B$13</f>
        <v/>
      </c>
      <c r="K18" s="67">
        <f>$B$13</f>
        <v/>
      </c>
      <c r="L18" s="67">
        <f>$B$13</f>
        <v/>
      </c>
      <c r="M18" s="55" t="inlineStr">
        <is>
          <t>constant; PMT(rate/12, term×12, loan)×12</t>
        </is>
      </c>
    </row>
    <row r="19" ht="21" customHeight="1">
      <c r="A19" s="47" t="inlineStr">
        <is>
          <t>DSCR  (EBITDA / Debt Service)</t>
        </is>
      </c>
      <c r="B19" s="68" t="n"/>
      <c r="C19" s="69">
        <f>IF(C18&gt;0,C17/C18,0)</f>
        <v/>
      </c>
      <c r="D19" s="69">
        <f>IF(D18&gt;0,D17/D18,0)</f>
        <v/>
      </c>
      <c r="E19" s="69">
        <f>IF(E18&gt;0,E17/E18,0)</f>
        <v/>
      </c>
      <c r="F19" s="69">
        <f>IF(F18&gt;0,F17/F18,0)</f>
        <v/>
      </c>
      <c r="G19" s="69">
        <f>IF(G18&gt;0,G17/G18,0)</f>
        <v/>
      </c>
      <c r="H19" s="69">
        <f>IF(H18&gt;0,H17/H18,0)</f>
        <v/>
      </c>
      <c r="I19" s="69">
        <f>IF(I18&gt;0,I17/I18,0)</f>
        <v/>
      </c>
      <c r="J19" s="69">
        <f>IF(J18&gt;0,J17/J18,0)</f>
        <v/>
      </c>
      <c r="K19" s="69">
        <f>IF(K18&gt;0,K17/K18,0)</f>
        <v/>
      </c>
      <c r="L19" s="69">
        <f>IF(L18&gt;0,L17/L18,0)</f>
        <v/>
      </c>
      <c r="M19" s="49" t="inlineStr">
        <is>
          <t>SBA lender threshold: 1.25× minimum</t>
        </is>
      </c>
    </row>
    <row r="20" ht="6" customHeight="1"/>
    <row r="21" ht="21" customHeight="1">
      <c r="A21" s="45" t="inlineStr">
        <is>
          <t>Remaining Loan Balance (Year-End)</t>
        </is>
      </c>
      <c r="B21" s="39" t="n"/>
      <c r="C21" s="34">
        <f>MAX(0,B6+CUMPRINC(B11/12,B12*12,B6,1,1*12,0))</f>
        <v/>
      </c>
      <c r="D21" s="39">
        <f>MAX(0,B6+CUMPRINC(B11/12,B12*12,B6,1,2*12,0))</f>
        <v/>
      </c>
      <c r="E21" s="34">
        <f>MAX(0,B6+CUMPRINC(B11/12,B12*12,B6,1,3*12,0))</f>
        <v/>
      </c>
      <c r="F21" s="39">
        <f>MAX(0,B6+CUMPRINC(B11/12,B12*12,B6,1,4*12,0))</f>
        <v/>
      </c>
      <c r="G21" s="34">
        <f>MAX(0,B6+CUMPRINC(B11/12,B12*12,B6,1,5*12,0))</f>
        <v/>
      </c>
      <c r="H21" s="39">
        <f>MAX(0,B6+CUMPRINC(B11/12,B12*12,B6,1,6*12,0))</f>
        <v/>
      </c>
      <c r="I21" s="34">
        <f>MAX(0,B6+CUMPRINC(B11/12,B12*12,B6,1,7*12,0))</f>
        <v/>
      </c>
      <c r="J21" s="39">
        <f>MAX(0,B6+CUMPRINC(B11/12,B12*12,B6,1,8*12,0))</f>
        <v/>
      </c>
      <c r="K21" s="34">
        <f>MAX(0,B6+CUMPRINC(B11/12,B12*12,B6,1,9*12,0))</f>
        <v/>
      </c>
      <c r="L21" s="39">
        <f>MAX(0,B6+CUMPRINC(B11/12,B12*12,B6,1,10*12,0))</f>
        <v/>
      </c>
      <c r="M21" s="46" t="inlineStr">
        <is>
          <t>declining over 25-yr amortization schedule</t>
        </is>
      </c>
    </row>
    <row r="22" ht="6" customHeight="1"/>
    <row r="23" ht="22" customHeight="1">
      <c r="A23" s="3" t="inlineStr">
        <is>
          <t xml:space="preserve">  EXIT  (Year 10)</t>
        </is>
      </c>
    </row>
    <row r="24" ht="21" customHeight="1">
      <c r="A24" s="45" t="inlineStr">
        <is>
          <t>Year 10 EBITDA</t>
        </is>
      </c>
      <c r="B24" s="34">
        <f>'P&amp;L'!K22</f>
        <v/>
      </c>
      <c r="C24" s="61" t="n"/>
      <c r="D24" s="61" t="n"/>
      <c r="E24" s="61" t="n"/>
      <c r="F24" s="61" t="n"/>
      <c r="G24" s="61" t="n"/>
      <c r="H24" s="61" t="n"/>
      <c r="I24" s="61" t="n"/>
      <c r="J24" s="61" t="n"/>
      <c r="K24" s="61" t="n"/>
      <c r="L24" s="61" t="n"/>
      <c r="M24" s="62" t="inlineStr">
        <is>
          <t>P&amp;L tab Year 10 EBITDA</t>
        </is>
      </c>
    </row>
    <row r="25" ht="21" customHeight="1">
      <c r="A25" s="45" t="inlineStr">
        <is>
          <t>Exit Multiple — Penetration-Based (mid)</t>
        </is>
      </c>
      <c r="B25" s="37">
        <f>('Annual Summary'!H13+'Annual Summary'!I13)/2</f>
        <v/>
      </c>
      <c r="C25" s="61" t="n"/>
      <c r="D25" s="61" t="n"/>
      <c r="E25" s="61" t="n"/>
      <c r="F25" s="61" t="n"/>
      <c r="G25" s="61" t="n"/>
      <c r="H25" s="61" t="n"/>
      <c r="I25" s="61" t="n"/>
      <c r="J25" s="61" t="n"/>
      <c r="K25" s="61" t="n"/>
      <c r="L25" s="61" t="n"/>
      <c r="M25" s="62" t="inlineStr">
        <is>
          <t>Ad Astra multiple tiers — auto from penetration</t>
        </is>
      </c>
    </row>
    <row r="26" ht="21" customHeight="1">
      <c r="A26" s="45" t="inlineStr">
        <is>
          <t>Gross Exit Value</t>
        </is>
      </c>
      <c r="B26" s="34">
        <f>B24*B25</f>
        <v/>
      </c>
      <c r="C26" s="61" t="n"/>
      <c r="D26" s="61" t="n"/>
      <c r="E26" s="61" t="n"/>
      <c r="F26" s="61" t="n"/>
      <c r="G26" s="61" t="n"/>
      <c r="H26" s="61" t="n"/>
      <c r="I26" s="61" t="n"/>
      <c r="J26" s="61" t="n"/>
      <c r="K26" s="61" t="n"/>
      <c r="L26" s="61" t="n"/>
      <c r="M26" s="62" t="inlineStr">
        <is>
          <t>EBITDA × penetration-based multiple midpoint</t>
        </is>
      </c>
    </row>
    <row r="27" ht="21" customHeight="1">
      <c r="A27" s="45" t="inlineStr">
        <is>
          <t>Less: Remaining Debt (Year 10)</t>
        </is>
      </c>
      <c r="B27" s="34">
        <f>MAX(0,B6+CUMPRINC(B11/12,B12*12,B6,1,120,0))</f>
        <v/>
      </c>
      <c r="C27" s="61" t="n"/>
      <c r="D27" s="61" t="n"/>
      <c r="E27" s="61" t="n"/>
      <c r="F27" s="61" t="n"/>
      <c r="G27" s="61" t="n"/>
      <c r="H27" s="61" t="n"/>
      <c r="I27" s="61" t="n"/>
      <c r="J27" s="61" t="n"/>
      <c r="K27" s="61" t="n"/>
      <c r="L27" s="61" t="n"/>
      <c r="M27" s="62" t="inlineStr">
        <is>
          <t>loan balance at end of Year 10</t>
        </is>
      </c>
    </row>
    <row r="28" ht="21" customHeight="1">
      <c r="A28" s="56" t="inlineStr">
        <is>
          <t>NET EQUITY PROCEEDS AT EXIT</t>
        </is>
      </c>
      <c r="B28" s="57">
        <f>B26-B27</f>
        <v/>
      </c>
      <c r="C28" s="61" t="n"/>
      <c r="D28" s="61" t="n"/>
      <c r="E28" s="61" t="n"/>
      <c r="F28" s="61" t="n"/>
      <c r="G28" s="61" t="n"/>
      <c r="H28" s="61" t="n"/>
      <c r="I28" s="61" t="n"/>
      <c r="J28" s="61" t="n"/>
      <c r="K28" s="61" t="n"/>
      <c r="L28" s="61" t="n"/>
      <c r="M28" s="62" t="inlineStr">
        <is>
          <t>exit equity after repaying SBA loan</t>
        </is>
      </c>
    </row>
    <row r="29" ht="6" customHeight="1"/>
    <row r="30" ht="21" customHeight="1">
      <c r="A30" s="70" t="inlineStr">
        <is>
          <t xml:space="preserve">  Equity Cash Flow Series  (Year 0 = outflow)</t>
        </is>
      </c>
      <c r="B30" s="71">
        <f>-B9</f>
        <v/>
      </c>
      <c r="C30" s="72">
        <f>C17-C18</f>
        <v/>
      </c>
      <c r="D30" s="73">
        <f>D17-D18</f>
        <v/>
      </c>
      <c r="E30" s="72">
        <f>E17-E18</f>
        <v/>
      </c>
      <c r="F30" s="73">
        <f>F17-F18</f>
        <v/>
      </c>
      <c r="G30" s="72">
        <f>G17-G18</f>
        <v/>
      </c>
      <c r="H30" s="73">
        <f>H17-H18</f>
        <v/>
      </c>
      <c r="I30" s="72">
        <f>I17-I18</f>
        <v/>
      </c>
      <c r="J30" s="73">
        <f>J17-J18</f>
        <v/>
      </c>
      <c r="K30" s="72">
        <f>K17-K18</f>
        <v/>
      </c>
      <c r="L30" s="74">
        <f>L17-L18+B28</f>
        <v/>
      </c>
      <c r="M30" s="62" t="inlineStr">
        <is>
          <t>→ IRR formula reads B30:L30</t>
        </is>
      </c>
    </row>
    <row r="31" ht="6" customHeight="1"/>
    <row r="32" ht="22" customHeight="1">
      <c r="A32" s="3" t="inlineStr">
        <is>
          <t xml:space="preserve">  RETURNS SUMMARY</t>
        </is>
      </c>
    </row>
    <row r="33" ht="28" customHeight="1">
      <c r="A33" s="75" t="inlineStr">
        <is>
          <t>10-Year Levered IRR</t>
        </is>
      </c>
      <c r="B33" s="76">
        <f>IRR(B30:L30)</f>
        <v/>
      </c>
      <c r="C33" s="61" t="n"/>
      <c r="D33" s="61" t="n"/>
      <c r="E33" s="61" t="n"/>
      <c r="F33" s="61" t="n"/>
      <c r="G33" s="61" t="n"/>
      <c r="H33" s="61" t="n"/>
      <c r="I33" s="61" t="n"/>
      <c r="J33" s="61" t="n"/>
      <c r="K33" s="61" t="n"/>
      <c r="L33" s="61" t="n"/>
      <c r="M33" s="62" t="inlineStr">
        <is>
          <t>target: 15–25%+ for levered express-tunnel acquisitions</t>
        </is>
      </c>
    </row>
    <row r="34" ht="28" customHeight="1">
      <c r="A34" s="77" t="inlineStr">
        <is>
          <t>Equity Multiple (MoIC)</t>
        </is>
      </c>
      <c r="B34" s="78">
        <f>SUM(C30:L30)/(-B30)</f>
        <v/>
      </c>
      <c r="C34" s="61" t="n"/>
      <c r="D34" s="61" t="n"/>
      <c r="E34" s="61" t="n"/>
      <c r="F34" s="61" t="n"/>
      <c r="G34" s="61" t="n"/>
      <c r="H34" s="61" t="n"/>
      <c r="I34" s="61" t="n"/>
      <c r="J34" s="61" t="n"/>
      <c r="K34" s="61" t="n"/>
      <c r="L34" s="61" t="n"/>
      <c r="M34" s="62" t="inlineStr">
        <is>
          <t>target: 2.0–3.5× on a 10-year hold</t>
        </is>
      </c>
    </row>
    <row r="35" ht="28" customHeight="1">
      <c r="A35" s="77" t="inlineStr">
        <is>
          <t>Minimum DSCR (Years 1–10)</t>
        </is>
      </c>
      <c r="B35" s="79">
        <f>MIN(C19:L19)</f>
        <v/>
      </c>
      <c r="C35" s="61" t="n"/>
      <c r="D35" s="61" t="n"/>
      <c r="E35" s="61" t="n"/>
      <c r="F35" s="61" t="n"/>
      <c r="G35" s="61" t="n"/>
      <c r="H35" s="61" t="n"/>
      <c r="I35" s="61" t="n"/>
      <c r="J35" s="61" t="n"/>
      <c r="K35" s="61" t="n"/>
      <c r="L35" s="61" t="n"/>
      <c r="M35" s="62" t="inlineStr">
        <is>
          <t>SBA lender floor: 1.25× — revise assumptions if below</t>
        </is>
      </c>
    </row>
    <row r="36" ht="6" customHeight="1"/>
    <row r="37" ht="22" customHeight="1">
      <c r="A37" s="43" t="inlineStr">
        <is>
          <t xml:space="preserve">  SBA BENCHMARKS  ·  Max LTV: 85–90%  ·  Min equity injection: 10–15%  ·  DSCR floor: 1.25×  ·  Rate (7a): WSJ Prime + 2.75%  ·  Target levered IRR: 15–25%+</t>
        </is>
      </c>
    </row>
    <row r="38" ht="16" customHeight="1">
      <c r="A38" s="16" t="inlineStr">
        <is>
          <t xml:space="preserve">  Sources: SBA.gov · mmcginvest.com underwriting case study · Ad Astra Equity EBITDA multiples · Car Wash Advisory 2025 M&amp;A Report</t>
        </is>
      </c>
    </row>
  </sheetData>
  <mergeCells count="8">
    <mergeCell ref="A1:M1"/>
    <mergeCell ref="A23:M23"/>
    <mergeCell ref="A32:M32"/>
    <mergeCell ref="A37:M37"/>
    <mergeCell ref="A4:M4"/>
    <mergeCell ref="A15:M15"/>
    <mergeCell ref="A38:M38"/>
    <mergeCell ref="A2:M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I27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26" customWidth="1" min="9" max="9"/>
  </cols>
  <sheetData>
    <row r="1" ht="42" customHeight="1">
      <c r="A1" s="80" t="inlineStr">
        <is>
          <t>ACQUISITION UNDERWRITING SUMMARY  —  LENDER READY</t>
        </is>
      </c>
    </row>
    <row r="2" ht="20" customHeight="1">
      <c r="A2" s="2" t="inlineStr">
        <is>
          <t>Express Tunnel Acquisition Model  ·  All KPIs auto-update from Inputs tab  ·  Print this tab for lender submission</t>
        </is>
      </c>
    </row>
    <row r="3" ht="22" customHeight="1">
      <c r="A3" s="81" t="inlineStr">
        <is>
          <t>10-YEAR LEVERED IRR</t>
        </is>
      </c>
      <c r="D3" s="81" t="inlineStr">
        <is>
          <t>EQUITY MULTIPLE (MoIC)</t>
        </is>
      </c>
      <c r="G3" s="81" t="inlineStr">
        <is>
          <t>MINIMUM DSCR (10-Year)</t>
        </is>
      </c>
    </row>
    <row r="4" ht="44" customHeight="1">
      <c r="A4" s="82">
        <f>'Financing &amp; Returns'!B33</f>
        <v/>
      </c>
      <c r="D4" s="83">
        <f>'Financing &amp; Returns'!B34</f>
        <v/>
      </c>
      <c r="G4" s="84">
        <f>'Financing &amp; Returns'!B35</f>
        <v/>
      </c>
    </row>
    <row r="5" ht="18" customHeight="1">
      <c r="A5" s="85" t="inlineStr">
        <is>
          <t>Target: 15–25%+ for levered SBA acquisition</t>
        </is>
      </c>
      <c r="D5" s="85" t="inlineStr">
        <is>
          <t>Target: 2.0–3.5× on 10-year hold</t>
        </is>
      </c>
      <c r="G5" s="85" t="inlineStr">
        <is>
          <t>SBA lender floor: 1.25× — revise assumptions if below</t>
        </is>
      </c>
    </row>
    <row r="6" ht="10" customHeight="1"/>
    <row r="7" ht="22" customHeight="1">
      <c r="A7" s="3" t="inlineStr">
        <is>
          <t xml:space="preserve">  ACQUISITION OVERVIEW</t>
        </is>
      </c>
      <c r="E7" s="3" t="inlineStr">
        <is>
          <t xml:space="preserve">  MEMBERSHIP ECONOMICS PROFILE</t>
        </is>
      </c>
    </row>
    <row r="8" ht="22" customHeight="1">
      <c r="A8" s="45" t="inlineStr">
        <is>
          <t>Purchase Price (EV)</t>
        </is>
      </c>
      <c r="C8" s="39">
        <f>'Financing &amp; Returns'!B5</f>
        <v/>
      </c>
      <c r="E8" s="45" t="inlineStr">
        <is>
          <t>Initial Penetration</t>
        </is>
      </c>
      <c r="G8" s="41">
        <f>Inputs!$B$8</f>
        <v/>
      </c>
      <c r="I8" s="16" t="inlineStr">
        <is>
          <t>Seller-claimed — verify with membership data</t>
        </is>
      </c>
    </row>
    <row r="9" ht="22" customHeight="1">
      <c r="A9" s="45" t="inlineStr">
        <is>
          <t>SBA Loan Amount</t>
        </is>
      </c>
      <c r="C9" s="39">
        <f>'Financing &amp; Returns'!B6</f>
        <v/>
      </c>
      <c r="E9" s="45" t="inlineStr">
        <is>
          <t>Monthly Churn Rate</t>
        </is>
      </c>
      <c r="G9" s="41">
        <f>Inputs!$B$9</f>
        <v/>
      </c>
      <c r="I9" s="16" t="inlineStr">
        <is>
          <t>ICA benchmark: 7.6%/mo</t>
        </is>
      </c>
    </row>
    <row r="10" ht="22" customHeight="1">
      <c r="A10" s="45" t="inlineStr">
        <is>
          <t>Down Payment (15%)</t>
        </is>
      </c>
      <c r="C10" s="39">
        <f>'Financing &amp; Returns'!B7</f>
        <v/>
      </c>
      <c r="E10" s="45" t="inlineStr">
        <is>
          <t>Member ARPU ($/mo)</t>
        </is>
      </c>
      <c r="G10" s="86">
        <f>Inputs!$B$11</f>
        <v/>
      </c>
      <c r="I10" s="16" t="inlineStr">
        <is>
          <t>ICA consensus: $20–30/mo</t>
        </is>
      </c>
    </row>
    <row r="11" ht="22" customHeight="1">
      <c r="A11" s="45" t="inlineStr">
        <is>
          <t>Closing Costs</t>
        </is>
      </c>
      <c r="C11" s="39">
        <f>'Financing &amp; Returns'!B8</f>
        <v/>
      </c>
      <c r="E11" s="45" t="inlineStr">
        <is>
          <t>Monthly Capture Rate</t>
        </is>
      </c>
      <c r="G11" s="41">
        <f>Inputs!$B$10</f>
        <v/>
      </c>
      <c r="I11" s="16" t="inlineStr">
        <is>
          <t>Industry range: 5–15%</t>
        </is>
      </c>
    </row>
    <row r="12" ht="22" customHeight="1">
      <c r="A12" s="45" t="inlineStr">
        <is>
          <t>Total Equity Invested</t>
        </is>
      </c>
      <c r="C12" s="39">
        <f>'Financing &amp; Returns'!B9</f>
        <v/>
      </c>
      <c r="E12" s="45" t="inlineStr">
        <is>
          <t>Year 10 Penetration</t>
        </is>
      </c>
      <c r="G12" s="41">
        <f>'Annual Summary'!G13</f>
        <v/>
      </c>
      <c r="I12" s="16" t="inlineStr">
        <is>
          <t>Equilibrium penetration at end of Year 10</t>
        </is>
      </c>
    </row>
    <row r="13" ht="22" customHeight="1">
      <c r="A13" s="45" t="inlineStr">
        <is>
          <t>Annual Debt Service</t>
        </is>
      </c>
      <c r="C13" s="39">
        <f>'Financing &amp; Returns'!B13</f>
        <v/>
      </c>
      <c r="E13" s="45" t="inlineStr">
        <is>
          <t>Year 1 Member Revenue</t>
        </is>
      </c>
      <c r="G13" s="39">
        <f>'Annual Summary'!B4</f>
        <v/>
      </c>
      <c r="I13" s="16" t="inlineStr">
        <is>
          <t>First full year of subscription revenue</t>
        </is>
      </c>
    </row>
    <row r="14" ht="22" customHeight="1">
      <c r="A14" s="56" t="inlineStr">
        <is>
          <t>Year 10 EBITDA</t>
        </is>
      </c>
      <c r="C14" s="57">
        <f>'P&amp;L'!K22</f>
        <v/>
      </c>
      <c r="E14" s="56" t="inlineStr">
        <is>
          <t>Year 10 Member Revenue</t>
        </is>
      </c>
      <c r="G14" s="57">
        <f>'Annual Summary'!B13</f>
        <v/>
      </c>
      <c r="I14" s="16" t="inlineStr">
        <is>
          <t>Peak EBITDA &amp; subscription revenue at Year 10</t>
        </is>
      </c>
    </row>
    <row r="15" ht="10" customHeight="1"/>
    <row r="16" ht="24" customHeight="1">
      <c r="A16" s="87" t="inlineStr">
        <is>
          <t xml:space="preserve">  CHURN × PENETRATION STRESS TABLE  —  Year 10 Implied EBITDA Exit Multiple</t>
        </is>
      </c>
    </row>
    <row r="17" ht="36" customHeight="1">
      <c r="A17" s="88" t="inlineStr">
        <is>
          <t>Churn ↓ / Init Pen →</t>
        </is>
      </c>
      <c r="B17" s="9" t="inlineStr">
        <is>
          <t>10%</t>
        </is>
      </c>
      <c r="C17" s="9" t="inlineStr">
        <is>
          <t>15%</t>
        </is>
      </c>
      <c r="D17" s="9" t="inlineStr">
        <is>
          <t>20% ★</t>
        </is>
      </c>
      <c r="E17" s="9" t="inlineStr">
        <is>
          <t>25%</t>
        </is>
      </c>
      <c r="F17" s="9" t="inlineStr">
        <is>
          <t>30%</t>
        </is>
      </c>
      <c r="G17" s="9" t="inlineStr">
        <is>
          <t>35%</t>
        </is>
      </c>
      <c r="H17" s="9" t="inlineStr">
        <is>
          <t>40%</t>
        </is>
      </c>
      <c r="I17" s="89" t="inlineStr">
        <is>
          <t>Equilibrium</t>
        </is>
      </c>
    </row>
    <row r="18" ht="32" customHeight="1">
      <c r="A18" s="13" t="inlineStr">
        <is>
          <t>5.0%</t>
        </is>
      </c>
      <c r="B18" s="90" t="inlineStr">
        <is>
          <t>61.3%
7.5–8.5x</t>
        </is>
      </c>
      <c r="C18" s="90" t="inlineStr">
        <is>
          <t>61.3%
7.5–8.5x</t>
        </is>
      </c>
      <c r="D18" s="91" t="inlineStr">
        <is>
          <t>61.3%
7.5–8.5x</t>
        </is>
      </c>
      <c r="E18" s="90" t="inlineStr">
        <is>
          <t>61.3%
7.5–8.5x</t>
        </is>
      </c>
      <c r="F18" s="90" t="inlineStr">
        <is>
          <t>61.3%
7.5–8.5x</t>
        </is>
      </c>
      <c r="G18" s="90" t="inlineStr">
        <is>
          <t>61.3%
7.5–8.5x</t>
        </is>
      </c>
      <c r="H18" s="90" t="inlineStr">
        <is>
          <t>61.3%
7.5–8.5x</t>
        </is>
      </c>
      <c r="I18" s="92" t="inlineStr">
        <is>
          <t>61.5%</t>
        </is>
      </c>
    </row>
    <row r="19" ht="32" customHeight="1">
      <c r="A19" s="93" t="inlineStr">
        <is>
          <t>7.6% ★</t>
        </is>
      </c>
      <c r="B19" s="91" t="inlineStr">
        <is>
          <t>51.2%
7.5–8.5x</t>
        </is>
      </c>
      <c r="C19" s="91" t="inlineStr">
        <is>
          <t>51.2%
7.5–8.5x</t>
        </is>
      </c>
      <c r="D19" s="91" t="inlineStr">
        <is>
          <t>51.2%
7.5–8.5x</t>
        </is>
      </c>
      <c r="E19" s="91" t="inlineStr">
        <is>
          <t>51.2%
7.5–8.5x</t>
        </is>
      </c>
      <c r="F19" s="91" t="inlineStr">
        <is>
          <t>51.2%
7.5–8.5x</t>
        </is>
      </c>
      <c r="G19" s="91" t="inlineStr">
        <is>
          <t>51.2%
7.5–8.5x</t>
        </is>
      </c>
      <c r="H19" s="91" t="inlineStr">
        <is>
          <t>51.2%
7.5–8.5x</t>
        </is>
      </c>
      <c r="I19" s="92" t="inlineStr">
        <is>
          <t>51.3%</t>
        </is>
      </c>
    </row>
    <row r="20" ht="32" customHeight="1">
      <c r="A20" s="13" t="inlineStr">
        <is>
          <t>9.0%</t>
        </is>
      </c>
      <c r="B20" s="90" t="inlineStr">
        <is>
          <t>47.0%
7.5–8.5x</t>
        </is>
      </c>
      <c r="C20" s="90" t="inlineStr">
        <is>
          <t>47.0%
7.5–8.5x</t>
        </is>
      </c>
      <c r="D20" s="91" t="inlineStr">
        <is>
          <t>47.0%
7.5–8.5x</t>
        </is>
      </c>
      <c r="E20" s="90" t="inlineStr">
        <is>
          <t>47.0%
7.5–8.5x</t>
        </is>
      </c>
      <c r="F20" s="90" t="inlineStr">
        <is>
          <t>47.0%
7.5–8.5x</t>
        </is>
      </c>
      <c r="G20" s="90" t="inlineStr">
        <is>
          <t>47.0%
7.5–8.5x</t>
        </is>
      </c>
      <c r="H20" s="90" t="inlineStr">
        <is>
          <t>47.0%
7.5–8.5x</t>
        </is>
      </c>
      <c r="I20" s="92" t="inlineStr">
        <is>
          <t>47.1%</t>
        </is>
      </c>
    </row>
    <row r="21" ht="32" customHeight="1">
      <c r="A21" s="13" t="inlineStr">
        <is>
          <t>11.0%</t>
        </is>
      </c>
      <c r="B21" s="90" t="inlineStr">
        <is>
          <t>42.1%
7.5–8.5x</t>
        </is>
      </c>
      <c r="C21" s="90" t="inlineStr">
        <is>
          <t>42.1%
7.5–8.5x</t>
        </is>
      </c>
      <c r="D21" s="91" t="inlineStr">
        <is>
          <t>42.1%
7.5–8.5x</t>
        </is>
      </c>
      <c r="E21" s="90" t="inlineStr">
        <is>
          <t>42.1%
7.5–8.5x</t>
        </is>
      </c>
      <c r="F21" s="90" t="inlineStr">
        <is>
          <t>42.1%
7.5–8.5x</t>
        </is>
      </c>
      <c r="G21" s="90" t="inlineStr">
        <is>
          <t>42.1%
7.5–8.5x</t>
        </is>
      </c>
      <c r="H21" s="90" t="inlineStr">
        <is>
          <t>42.1%
7.5–8.5x</t>
        </is>
      </c>
      <c r="I21" s="92" t="inlineStr">
        <is>
          <t>42.1%</t>
        </is>
      </c>
    </row>
    <row r="22" ht="32" customHeight="1">
      <c r="A22" s="13" t="inlineStr">
        <is>
          <t>13.0%</t>
        </is>
      </c>
      <c r="B22" s="94" t="inlineStr">
        <is>
          <t>38.1%
6.5–7.0x</t>
        </is>
      </c>
      <c r="C22" s="94" t="inlineStr">
        <is>
          <t>38.1%
6.5–7.0x</t>
        </is>
      </c>
      <c r="D22" s="95" t="inlineStr">
        <is>
          <t>38.1%
6.5–7.0x</t>
        </is>
      </c>
      <c r="E22" s="94" t="inlineStr">
        <is>
          <t>38.1%
6.5–7.0x</t>
        </is>
      </c>
      <c r="F22" s="94" t="inlineStr">
        <is>
          <t>38.1%
6.5–7.0x</t>
        </is>
      </c>
      <c r="G22" s="94" t="inlineStr">
        <is>
          <t>38.1%
6.5–7.0x</t>
        </is>
      </c>
      <c r="H22" s="94" t="inlineStr">
        <is>
          <t>38.1%
6.5–7.0x</t>
        </is>
      </c>
      <c r="I22" s="92" t="inlineStr">
        <is>
          <t>38.1%</t>
        </is>
      </c>
    </row>
    <row r="23" ht="32" customHeight="1">
      <c r="A23" s="13" t="inlineStr">
        <is>
          <t>15.0%</t>
        </is>
      </c>
      <c r="B23" s="94" t="inlineStr">
        <is>
          <t>34.8%
6.5–7.0x</t>
        </is>
      </c>
      <c r="C23" s="94" t="inlineStr">
        <is>
          <t>34.8%
6.5–7.0x</t>
        </is>
      </c>
      <c r="D23" s="95" t="inlineStr">
        <is>
          <t>34.8%
6.5–7.0x</t>
        </is>
      </c>
      <c r="E23" s="94" t="inlineStr">
        <is>
          <t>34.8%
6.5–7.0x</t>
        </is>
      </c>
      <c r="F23" s="94" t="inlineStr">
        <is>
          <t>34.8%
6.5–7.0x</t>
        </is>
      </c>
      <c r="G23" s="94" t="inlineStr">
        <is>
          <t>34.8%
6.5–7.0x</t>
        </is>
      </c>
      <c r="H23" s="94" t="inlineStr">
        <is>
          <t>34.8%
6.5–7.0x</t>
        </is>
      </c>
      <c r="I23" s="92" t="inlineStr">
        <is>
          <t>34.8%</t>
        </is>
      </c>
    </row>
    <row r="24" ht="20" customHeight="1">
      <c r="A24" s="96" t="inlineStr">
        <is>
          <t xml:space="preserve">  COLOR KEY  ·  Green ≥40% → 7.5–8.5× (premium)  ·  Blue 30–40% → 6.5–7.0×  ·  Yellow 20–30% → 5.5–6.0×  ·  Red &lt;20% → 5.0–5.5× (commodity)  ·  ★ = ICA benchmark</t>
        </is>
      </c>
    </row>
    <row r="25" ht="8" customHeight="1"/>
    <row r="26" ht="22" customHeight="1">
      <c r="A26" s="43" t="inlineStr">
        <is>
          <t xml:space="preserve">  ★ ICA BENCHMARKS  ·  Churn 7.6%/mo  ·  Penetration &lt;20% → 5.0–5.5× exit  ·  40%+ → 7.5–8.5×  ·  DSCR floor 1.25× (SBA)  ·  Target IRR: 15–25%+  ·  Target equity multiple: 2.0–3.5×</t>
        </is>
      </c>
    </row>
    <row r="27" ht="16" customHeight="1">
      <c r="A27" s="16" t="inlineStr">
        <is>
          <t xml:space="preserve">  Sources: ICA/carwash.com (7.6% churn) · Ad Astra Equity / Car Wash Advisory 2025 M&amp;A (EBITDA multiples) · mmcginvest.com underwriting case study · SBA.gov</t>
        </is>
      </c>
    </row>
  </sheetData>
  <mergeCells count="45">
    <mergeCell ref="E12:F12"/>
    <mergeCell ref="G12:H12"/>
    <mergeCell ref="A11:B11"/>
    <mergeCell ref="G11:H11"/>
    <mergeCell ref="C14:D14"/>
    <mergeCell ref="A27:I27"/>
    <mergeCell ref="A3:C3"/>
    <mergeCell ref="G3:I3"/>
    <mergeCell ref="E14:F14"/>
    <mergeCell ref="G8:H8"/>
    <mergeCell ref="E8:F8"/>
    <mergeCell ref="A26:I26"/>
    <mergeCell ref="A2:I2"/>
    <mergeCell ref="C10:D10"/>
    <mergeCell ref="A5:C5"/>
    <mergeCell ref="G5:I5"/>
    <mergeCell ref="E10:F10"/>
    <mergeCell ref="G10:H10"/>
    <mergeCell ref="D4:F4"/>
    <mergeCell ref="D3:F3"/>
    <mergeCell ref="G4:I4"/>
    <mergeCell ref="E13:F13"/>
    <mergeCell ref="C9:D9"/>
    <mergeCell ref="G13:H13"/>
    <mergeCell ref="A4:C4"/>
    <mergeCell ref="E9:F9"/>
    <mergeCell ref="A12:B12"/>
    <mergeCell ref="C12:D12"/>
    <mergeCell ref="D5:F5"/>
    <mergeCell ref="C11:D11"/>
    <mergeCell ref="E11:F11"/>
    <mergeCell ref="A7:D7"/>
    <mergeCell ref="A14:B14"/>
    <mergeCell ref="G14:H14"/>
    <mergeCell ref="A8:B8"/>
    <mergeCell ref="C8:D8"/>
    <mergeCell ref="A24:I24"/>
    <mergeCell ref="E7:I7"/>
    <mergeCell ref="A10:B10"/>
    <mergeCell ref="A1:I1"/>
    <mergeCell ref="A13:B13"/>
    <mergeCell ref="C13:D13"/>
    <mergeCell ref="A9:B9"/>
    <mergeCell ref="G9:H9"/>
    <mergeCell ref="A16:I16"/>
  </mergeCells>
  <pageMargins left="0.5" right="0.5" top="0.5" bottom="0.5" header="0.3" footer="0.3"/>
  <pageSetup orientation="landscape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2026-07-08T05:34:14Z</dcterms:created>
  <dcterms:modified xmlns:dcterms="http://purl.org/dc/terms/" xmlns:xsi="http://www.w3.org/2001/XMLSchema-instance" xsi:type="dcterms:W3CDTF">2026-07-08T05:34:15Z</dcterms:modified>
</cp:coreProperties>
</file>